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mbeddings/oleObject9.bin" ContentType="application/vnd.openxmlformats-officedocument.oleObject"/>
  <Override PartName="/xl/embeddings/oleObject16.bin" ContentType="application/vnd.openxmlformats-officedocument.oleObject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Default Extension="png" ContentType="image/png"/>
  <Override PartName="/xl/embeddings/oleObject15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8135" windowHeight="7905" firstSheet="5" activeTab="8"/>
  </bookViews>
  <sheets>
    <sheet name="CAP1Variable" sheetId="1" r:id="rId1"/>
    <sheet name="Sheet2" sheetId="2" r:id="rId2"/>
    <sheet name="Sheet3" sheetId="3" r:id="rId3"/>
    <sheet name="CAP3C-V-P" sheetId="4" r:id="rId4"/>
    <sheet name="CAP5" sheetId="5" r:id="rId5"/>
    <sheet name="CAP8" sheetId="6" r:id="rId6"/>
    <sheet name="CAP8_statements" sheetId="7" r:id="rId7"/>
    <sheet name="CAP9" sheetId="8" r:id="rId8"/>
    <sheet name="CAP12" sheetId="9" r:id="rId9"/>
    <sheet name="CAP13" sheetId="10" r:id="rId10"/>
    <sheet name="CAP15" sheetId="11" r:id="rId11"/>
    <sheet name="CAP17" sheetId="12" r:id="rId12"/>
    <sheet name="CAP19" sheetId="13" r:id="rId13"/>
    <sheet name="CAP20" sheetId="14" r:id="rId14"/>
    <sheet name="CAP24" sheetId="15" r:id="rId15"/>
    <sheet name="Sheet1" sheetId="16" r:id="rId16"/>
    <sheet name="Sheet4" sheetId="17" r:id="rId17"/>
    <sheet name="CAP16" sheetId="18" r:id="rId18"/>
    <sheet name="CAP17_Largay" sheetId="19" r:id="rId19"/>
  </sheets>
  <definedNames>
    <definedName name="_xlnm.Print_Area" localSheetId="8">'CAP12'!$C$43:$J$80</definedName>
    <definedName name="_xlnm.Print_Area" localSheetId="9">'CAP13'!$U$2:$AA$41</definedName>
    <definedName name="_xlnm.Print_Area" localSheetId="10">'CAP15'!$P$3:$X$28</definedName>
    <definedName name="_xlnm.Print_Area" localSheetId="11">'CAP17'!$B$3:$J$22</definedName>
    <definedName name="_xlnm.Print_Area" localSheetId="18">CAP17_Largay!$B$3:$L$18</definedName>
    <definedName name="_xlnm.Print_Area" localSheetId="12">'CAP19'!$B$3:$J$43</definedName>
    <definedName name="_xlnm.Print_Area" localSheetId="0">CAP1Variable!$B$49:$F$60</definedName>
    <definedName name="_xlnm.Print_Area" localSheetId="13">'CAP20'!$B$60:$J$131</definedName>
    <definedName name="_xlnm.Print_Area" localSheetId="14">'CAP24'!$B$41:$K$56</definedName>
    <definedName name="_xlnm.Print_Area" localSheetId="3">'CAP3C-V-P'!$B$3:$L$59</definedName>
    <definedName name="_xlnm.Print_Area" localSheetId="4">'CAP5'!$L$35:$V$69</definedName>
    <definedName name="_xlnm.Print_Area" localSheetId="5">'CAP8'!$BB$2:$BN$21</definedName>
    <definedName name="_xlnm.Print_Area" localSheetId="6">CAP8_statements!$O$3:$AA$51</definedName>
    <definedName name="_xlnm.Print_Area" localSheetId="7">'CAP9'!$B$4:$M$50</definedName>
    <definedName name="_xlnm.Print_Area" localSheetId="1">Sheet2!$B$2:$I$35</definedName>
  </definedNames>
  <calcPr calcId="125725"/>
</workbook>
</file>

<file path=xl/calcChain.xml><?xml version="1.0" encoding="utf-8"?>
<calcChain xmlns="http://schemas.openxmlformats.org/spreadsheetml/2006/main">
  <c r="BA28" i="6"/>
  <c r="BA27"/>
  <c r="E3" i="15"/>
  <c r="D19" i="13"/>
  <c r="D20"/>
  <c r="G19"/>
  <c r="G20"/>
  <c r="J19"/>
  <c r="J20"/>
  <c r="G22"/>
  <c r="D15" i="19"/>
  <c r="D12"/>
  <c r="G8"/>
  <c r="D7"/>
  <c r="L52" i="11"/>
  <c r="E52"/>
  <c r="L64"/>
  <c r="E64"/>
  <c r="E48"/>
  <c r="Y53" i="10"/>
  <c r="AA82"/>
  <c r="Y71"/>
  <c r="Y69"/>
  <c r="Y66"/>
  <c r="G58"/>
  <c r="I84"/>
  <c r="I73"/>
  <c r="I74" s="1"/>
  <c r="I86" s="1"/>
  <c r="L51" i="9"/>
  <c r="J37"/>
  <c r="J39" s="1"/>
  <c r="H37"/>
  <c r="H39" s="1"/>
  <c r="F37"/>
  <c r="F59"/>
  <c r="J78"/>
  <c r="J80" s="1"/>
  <c r="H63"/>
  <c r="F63"/>
  <c r="H61"/>
  <c r="F61"/>
  <c r="BP11" i="6"/>
  <c r="M20" i="8"/>
  <c r="J20"/>
  <c r="G14"/>
  <c r="I69" i="7"/>
  <c r="I71" s="1"/>
  <c r="BB21" i="6"/>
  <c r="AW26"/>
  <c r="C10" i="17"/>
  <c r="L71" i="4"/>
  <c r="K71"/>
  <c r="J71"/>
  <c r="H71"/>
  <c r="I71"/>
  <c r="F72"/>
  <c r="J21" i="1"/>
  <c r="E14" i="16"/>
  <c r="C16"/>
  <c r="C9"/>
  <c r="K46" i="15"/>
  <c r="K47"/>
  <c r="K48"/>
  <c r="K49"/>
  <c r="K50"/>
  <c r="K51"/>
  <c r="K52"/>
  <c r="K53"/>
  <c r="K54"/>
  <c r="K55"/>
  <c r="K56"/>
  <c r="K45"/>
  <c r="M45"/>
  <c r="H56"/>
  <c r="E56"/>
  <c r="H55"/>
  <c r="E55"/>
  <c r="H54"/>
  <c r="E54"/>
  <c r="H53"/>
  <c r="E53"/>
  <c r="H52"/>
  <c r="E52"/>
  <c r="H51"/>
  <c r="E51"/>
  <c r="H50"/>
  <c r="E50"/>
  <c r="H49"/>
  <c r="E49"/>
  <c r="H48"/>
  <c r="E48"/>
  <c r="H47"/>
  <c r="E47"/>
  <c r="H46"/>
  <c r="E46"/>
  <c r="H45"/>
  <c r="E45"/>
  <c r="K27"/>
  <c r="H37"/>
  <c r="E37"/>
  <c r="H36"/>
  <c r="E36"/>
  <c r="I36" s="1"/>
  <c r="K36" s="1"/>
  <c r="H35"/>
  <c r="E35"/>
  <c r="I35" s="1"/>
  <c r="K35" s="1"/>
  <c r="H34"/>
  <c r="E34"/>
  <c r="I34" s="1"/>
  <c r="K34" s="1"/>
  <c r="H33"/>
  <c r="E33"/>
  <c r="I33" s="1"/>
  <c r="K33" s="1"/>
  <c r="H32"/>
  <c r="E32"/>
  <c r="I32" s="1"/>
  <c r="K32" s="1"/>
  <c r="H31"/>
  <c r="E31"/>
  <c r="I31" s="1"/>
  <c r="K31" s="1"/>
  <c r="H30"/>
  <c r="E30"/>
  <c r="I30" s="1"/>
  <c r="K30" s="1"/>
  <c r="H29"/>
  <c r="E29"/>
  <c r="I29" s="1"/>
  <c r="K29" s="1"/>
  <c r="H28"/>
  <c r="E28"/>
  <c r="H27"/>
  <c r="E27"/>
  <c r="H7"/>
  <c r="H8"/>
  <c r="H9"/>
  <c r="H10"/>
  <c r="H11"/>
  <c r="H12"/>
  <c r="H13"/>
  <c r="H14"/>
  <c r="H15"/>
  <c r="H16"/>
  <c r="H17"/>
  <c r="H6"/>
  <c r="E7"/>
  <c r="I7" s="1"/>
  <c r="E8"/>
  <c r="I8" s="1"/>
  <c r="E9"/>
  <c r="I9" s="1"/>
  <c r="E10"/>
  <c r="I10" s="1"/>
  <c r="E11"/>
  <c r="I11" s="1"/>
  <c r="E12"/>
  <c r="I12" s="1"/>
  <c r="E13"/>
  <c r="I13" s="1"/>
  <c r="E14"/>
  <c r="I14" s="1"/>
  <c r="E15"/>
  <c r="I15" s="1"/>
  <c r="E16"/>
  <c r="I16" s="1"/>
  <c r="E17"/>
  <c r="I17" s="1"/>
  <c r="E6"/>
  <c r="I6" s="1"/>
  <c r="K6" s="1"/>
  <c r="J130" i="14"/>
  <c r="J128"/>
  <c r="J109"/>
  <c r="M115"/>
  <c r="J122"/>
  <c r="J120"/>
  <c r="H115"/>
  <c r="J131"/>
  <c r="J123"/>
  <c r="J111"/>
  <c r="J112"/>
  <c r="O108"/>
  <c r="J103"/>
  <c r="J101"/>
  <c r="J92"/>
  <c r="J95" s="1"/>
  <c r="H96"/>
  <c r="J94"/>
  <c r="O90"/>
  <c r="J86"/>
  <c r="J84"/>
  <c r="J77"/>
  <c r="J78" s="1"/>
  <c r="J75"/>
  <c r="N66"/>
  <c r="J69"/>
  <c r="J67"/>
  <c r="Q65"/>
  <c r="J104"/>
  <c r="H79"/>
  <c r="J70"/>
  <c r="U55"/>
  <c r="U53"/>
  <c r="U56" s="1"/>
  <c r="U47"/>
  <c r="U45"/>
  <c r="U48" s="1"/>
  <c r="S40"/>
  <c r="U37"/>
  <c r="U35"/>
  <c r="U29"/>
  <c r="U27"/>
  <c r="S22"/>
  <c r="U19"/>
  <c r="U17"/>
  <c r="U11"/>
  <c r="U9"/>
  <c r="U12" s="1"/>
  <c r="J55"/>
  <c r="J53"/>
  <c r="J47"/>
  <c r="J45"/>
  <c r="J48" s="1"/>
  <c r="H40"/>
  <c r="J56"/>
  <c r="J37"/>
  <c r="J35"/>
  <c r="J38" s="1"/>
  <c r="J29"/>
  <c r="J27"/>
  <c r="H22"/>
  <c r="J30"/>
  <c r="J17"/>
  <c r="J19"/>
  <c r="J20" s="1"/>
  <c r="J11"/>
  <c r="J9"/>
  <c r="J12" s="1"/>
  <c r="S32" i="13"/>
  <c r="S34"/>
  <c r="S24"/>
  <c r="S21"/>
  <c r="S26"/>
  <c r="S18"/>
  <c r="S16"/>
  <c r="S13"/>
  <c r="J13"/>
  <c r="J17" s="1"/>
  <c r="J23" s="1"/>
  <c r="G13"/>
  <c r="G17" s="1"/>
  <c r="D13"/>
  <c r="D17" s="1"/>
  <c r="Q19" i="12"/>
  <c r="Q12"/>
  <c r="P8"/>
  <c r="W28" i="11"/>
  <c r="S10"/>
  <c r="L29"/>
  <c r="E29"/>
  <c r="E17"/>
  <c r="E13"/>
  <c r="AA41" i="10"/>
  <c r="AA39"/>
  <c r="AA29"/>
  <c r="AA28"/>
  <c r="Y28"/>
  <c r="Y26"/>
  <c r="Y23"/>
  <c r="I35"/>
  <c r="I24"/>
  <c r="I25" s="1"/>
  <c r="F39" i="9"/>
  <c r="BB44" i="8"/>
  <c r="AZ44"/>
  <c r="AX44"/>
  <c r="BE12"/>
  <c r="BE16" s="1"/>
  <c r="BB19"/>
  <c r="AZ19"/>
  <c r="AX19"/>
  <c r="AW38"/>
  <c r="AW30"/>
  <c r="AV15"/>
  <c r="AV20" s="1"/>
  <c r="W34"/>
  <c r="X34"/>
  <c r="X37" s="1"/>
  <c r="Y34"/>
  <c r="Z34"/>
  <c r="Z37" s="1"/>
  <c r="V34"/>
  <c r="V37" s="1"/>
  <c r="U32"/>
  <c r="U21"/>
  <c r="T21"/>
  <c r="AA50" i="7"/>
  <c r="AA28"/>
  <c r="AA23"/>
  <c r="I83"/>
  <c r="D83"/>
  <c r="BN16" i="6"/>
  <c r="BG21"/>
  <c r="AT30"/>
  <c r="AO27"/>
  <c r="AI13"/>
  <c r="AD23"/>
  <c r="AD14"/>
  <c r="AD13"/>
  <c r="P23"/>
  <c r="P16"/>
  <c r="P12"/>
  <c r="V43" i="5"/>
  <c r="V41"/>
  <c r="P43"/>
  <c r="P41"/>
  <c r="P48"/>
  <c r="V48"/>
  <c r="P49"/>
  <c r="V49"/>
  <c r="P50"/>
  <c r="V50"/>
  <c r="P52"/>
  <c r="V52"/>
  <c r="V58"/>
  <c r="P58"/>
  <c r="V57"/>
  <c r="V59" s="1"/>
  <c r="V61" s="1"/>
  <c r="P57"/>
  <c r="P59" s="1"/>
  <c r="P61" s="1"/>
  <c r="F10" i="3"/>
  <c r="F9"/>
  <c r="L9"/>
  <c r="F26" i="2"/>
  <c r="D26"/>
  <c r="E8"/>
  <c r="F8"/>
  <c r="D8"/>
  <c r="D60" i="1"/>
  <c r="F60"/>
  <c r="E24"/>
  <c r="F24"/>
  <c r="F46" s="1"/>
  <c r="F42"/>
  <c r="E42"/>
  <c r="F35"/>
  <c r="E35"/>
  <c r="F30"/>
  <c r="E30"/>
  <c r="AA71" i="10" l="1"/>
  <c r="AA72" s="1"/>
  <c r="AA84" s="1"/>
  <c r="F78" i="9"/>
  <c r="F80" s="1"/>
  <c r="H78"/>
  <c r="H80" s="1"/>
  <c r="I78" i="7"/>
  <c r="I47" i="15"/>
  <c r="I48"/>
  <c r="I49"/>
  <c r="I50"/>
  <c r="I51"/>
  <c r="I52"/>
  <c r="I53"/>
  <c r="I54"/>
  <c r="I55"/>
  <c r="I56"/>
  <c r="I46"/>
  <c r="J46" s="1"/>
  <c r="I45"/>
  <c r="J45"/>
  <c r="J47"/>
  <c r="J48"/>
  <c r="J49"/>
  <c r="J50"/>
  <c r="J51"/>
  <c r="J52"/>
  <c r="J53"/>
  <c r="J54"/>
  <c r="J55"/>
  <c r="J56"/>
  <c r="I37"/>
  <c r="K37" s="1"/>
  <c r="I28"/>
  <c r="K28" s="1"/>
  <c r="I27"/>
  <c r="K16"/>
  <c r="J16"/>
  <c r="K14"/>
  <c r="J14"/>
  <c r="K12"/>
  <c r="J12"/>
  <c r="K10"/>
  <c r="J10"/>
  <c r="K8"/>
  <c r="J8"/>
  <c r="K17"/>
  <c r="J17"/>
  <c r="K15"/>
  <c r="J15"/>
  <c r="K13"/>
  <c r="J13"/>
  <c r="K11"/>
  <c r="J11"/>
  <c r="K9"/>
  <c r="J9"/>
  <c r="K7"/>
  <c r="J7"/>
  <c r="J27"/>
  <c r="J28"/>
  <c r="J29"/>
  <c r="J30"/>
  <c r="J31"/>
  <c r="J32"/>
  <c r="J33"/>
  <c r="J34"/>
  <c r="J35"/>
  <c r="J36"/>
  <c r="J37"/>
  <c r="J6"/>
  <c r="U30" i="14"/>
  <c r="J87"/>
  <c r="U38"/>
  <c r="U20"/>
  <c r="D23" i="13"/>
  <c r="D22"/>
  <c r="G23"/>
  <c r="J22"/>
  <c r="I37" i="10"/>
  <c r="AZ15" i="8"/>
  <c r="AZ20" s="1"/>
  <c r="AZ40" s="1"/>
  <c r="AW39"/>
  <c r="AX15"/>
  <c r="AX20" s="1"/>
  <c r="AX40" s="1"/>
  <c r="BB15"/>
  <c r="BB20" s="1"/>
  <c r="BB40" s="1"/>
</calcChain>
</file>

<file path=xl/sharedStrings.xml><?xml version="1.0" encoding="utf-8"?>
<sst xmlns="http://schemas.openxmlformats.org/spreadsheetml/2006/main" count="1107" uniqueCount="632">
  <si>
    <t>Variable cost/expenses</t>
  </si>
  <si>
    <t>Actual/forecasted</t>
  </si>
  <si>
    <t>Level of activity:</t>
  </si>
  <si>
    <t>Sales (units)</t>
  </si>
  <si>
    <t>Production (units)</t>
  </si>
  <si>
    <t>Marketing:</t>
  </si>
  <si>
    <t>Sales people's commissions</t>
  </si>
  <si>
    <t>Amount</t>
  </si>
  <si>
    <t>Rate</t>
  </si>
  <si>
    <t>Packaging</t>
  </si>
  <si>
    <t>Sales people's travel</t>
  </si>
  <si>
    <t>Bad debts</t>
  </si>
  <si>
    <t>Credit department</t>
  </si>
  <si>
    <t>Total Marketing</t>
  </si>
  <si>
    <t xml:space="preserve">VARIABLE cost/expenses </t>
  </si>
  <si>
    <t>General &amp; Administrative</t>
  </si>
  <si>
    <t>Travel</t>
  </si>
  <si>
    <t>Supplies</t>
  </si>
  <si>
    <t>Total General &amp; Administrative</t>
  </si>
  <si>
    <t>Manufacturing</t>
  </si>
  <si>
    <t>assembling dept</t>
  </si>
  <si>
    <t>Total labor</t>
  </si>
  <si>
    <t xml:space="preserve">           cutting dept</t>
  </si>
  <si>
    <t>Material</t>
  </si>
  <si>
    <t>Material X</t>
  </si>
  <si>
    <t>Material Y*</t>
  </si>
  <si>
    <t>Material X*</t>
  </si>
  <si>
    <t>Total Material</t>
  </si>
  <si>
    <t>Variable overhead</t>
  </si>
  <si>
    <t>Utilities</t>
  </si>
  <si>
    <t>Repairs &amp; maintenance</t>
  </si>
  <si>
    <t>Material Spoilage loss</t>
  </si>
  <si>
    <t>Total Manufacturing</t>
  </si>
  <si>
    <t>Total Variable Overhead</t>
  </si>
  <si>
    <r>
      <t xml:space="preserve">Total Variable </t>
    </r>
    <r>
      <rPr>
        <i/>
        <sz val="11"/>
        <color theme="1"/>
        <rFont val="Century Schoolbook"/>
        <family val="1"/>
      </rPr>
      <t>Rate</t>
    </r>
  </si>
  <si>
    <t>Labor</t>
  </si>
  <si>
    <r>
      <t xml:space="preserve">CAP 1 </t>
    </r>
    <r>
      <rPr>
        <b/>
        <i/>
        <sz val="11"/>
        <color theme="1"/>
        <rFont val="Century Schoolbook"/>
        <family val="1"/>
      </rPr>
      <t>cont.</t>
    </r>
  </si>
  <si>
    <t>Material Y</t>
  </si>
  <si>
    <t>Material Purchases</t>
  </si>
  <si>
    <t>Freight-in</t>
  </si>
  <si>
    <t>xxxxxxxx</t>
  </si>
  <si>
    <t>Material (E1)</t>
  </si>
  <si>
    <t>Material (B1)</t>
  </si>
  <si>
    <t>*Material Used</t>
  </si>
  <si>
    <t>CAP 1: Material Used</t>
  </si>
  <si>
    <t>CAP 2  Cost Behavior</t>
  </si>
  <si>
    <t>Separating Fixed and Variable Costs</t>
  </si>
  <si>
    <t>volume</t>
  </si>
  <si>
    <t>$</t>
  </si>
  <si>
    <t>=</t>
  </si>
  <si>
    <t>trying to tab</t>
  </si>
  <si>
    <t>CAP 3: C-V-P Analysis Work Sheet for Requirement A</t>
  </si>
  <si>
    <t>Level of Sales Activity (units)</t>
  </si>
  <si>
    <t>FIXED COSTS/EXPENSES</t>
  </si>
  <si>
    <t>Marketing</t>
  </si>
  <si>
    <t>Sales peoples' salaries</t>
  </si>
  <si>
    <t>Sales peoples' training</t>
  </si>
  <si>
    <t>Advertising</t>
  </si>
  <si>
    <t>Territory sales offices rental</t>
  </si>
  <si>
    <t>Territory offices operating expenses</t>
  </si>
  <si>
    <t>Home office</t>
  </si>
  <si>
    <t>Executive salaries</t>
  </si>
  <si>
    <t>Secretarial &amp; clerical</t>
  </si>
  <si>
    <t>supplies</t>
  </si>
  <si>
    <t>Depreciation, building</t>
  </si>
  <si>
    <t>Depreciation, furniture &amp; fixtures</t>
  </si>
  <si>
    <t>Fixed direct labor</t>
  </si>
  <si>
    <t>Production planning &amp; control</t>
  </si>
  <si>
    <t>Purchasing and receiving costs</t>
  </si>
  <si>
    <t>Factory insurance</t>
  </si>
  <si>
    <t>Depreciation, production equip. &amp; tools</t>
  </si>
  <si>
    <t>Factory supplies</t>
  </si>
  <si>
    <t>Factory workers' training cost</t>
  </si>
  <si>
    <t>Total Fixed Cost</t>
  </si>
  <si>
    <t>VARIABLE COST/EXPENSE</t>
  </si>
  <si>
    <t>Cost of goods sold (mfg)</t>
  </si>
  <si>
    <t>Sales peoples' commission</t>
  </si>
  <si>
    <t>Sales peoples' travel</t>
  </si>
  <si>
    <t>Total</t>
  </si>
  <si>
    <t>Total Variable Rate</t>
  </si>
  <si>
    <t>Price</t>
  </si>
  <si>
    <t>Contribution Margin</t>
  </si>
  <si>
    <t>Desired Net income</t>
  </si>
  <si>
    <t>Breakeven point</t>
  </si>
  <si>
    <t>Target income point (assume desired net income is 10% of total assets)</t>
  </si>
  <si>
    <t>Annual/Planned Costs</t>
  </si>
  <si>
    <t>note: calculations fromCAP 1</t>
  </si>
  <si>
    <t>Fixed Cost</t>
  </si>
  <si>
    <t>CAP 5 Cost-Volume-Profit Graph</t>
  </si>
  <si>
    <t>Net Income ($00.00)</t>
  </si>
  <si>
    <t>A</t>
  </si>
  <si>
    <t>B</t>
  </si>
  <si>
    <t>C</t>
  </si>
  <si>
    <t>D</t>
  </si>
  <si>
    <t>E</t>
  </si>
  <si>
    <t>F</t>
  </si>
  <si>
    <t>Increase in Price</t>
  </si>
  <si>
    <t>Decrease in Price</t>
  </si>
  <si>
    <t>Increase in Variable Cost</t>
  </si>
  <si>
    <t>Decrease in Variable Cost</t>
  </si>
  <si>
    <t>Increase in Fixed Cost</t>
  </si>
  <si>
    <t>Decrease in Fixed Cost</t>
  </si>
  <si>
    <t xml:space="preserve">CAP 5 Cost-Volume-Profit Analysis </t>
  </si>
  <si>
    <t>x</t>
  </si>
  <si>
    <t>Case A: Price goes to $320: Increase in Sales Price</t>
  </si>
  <si>
    <t>Case B: Change in Variable Cost - 10% to 16% - 300 x .06 = 18</t>
  </si>
  <si>
    <t>Case 1</t>
  </si>
  <si>
    <t>Case C: Advertising costs increase by $200,000</t>
  </si>
  <si>
    <t>CAP 8: Comprehensive Budgeting Problem</t>
  </si>
  <si>
    <t>V.K.Gadget Company</t>
  </si>
  <si>
    <t>Sales Budget</t>
  </si>
  <si>
    <t>Territory 1</t>
  </si>
  <si>
    <t>Units</t>
  </si>
  <si>
    <t>Sales</t>
  </si>
  <si>
    <t>Territory 2</t>
  </si>
  <si>
    <t>Territory 3</t>
  </si>
  <si>
    <t>Territory 4 (EL gadget)</t>
  </si>
  <si>
    <t>Total territorial sales</t>
  </si>
  <si>
    <t>Sales-Acme Company</t>
  </si>
  <si>
    <t>Total Budgeted Sales</t>
  </si>
  <si>
    <t xml:space="preserve">      For the quarter ending _______</t>
  </si>
  <si>
    <t>V.K. Gadget</t>
  </si>
  <si>
    <t>Ending Inventory Budget</t>
  </si>
  <si>
    <t>For the quarter ending</t>
  </si>
  <si>
    <t>Material X:</t>
  </si>
  <si>
    <t>Total Cost</t>
  </si>
  <si>
    <t>Material Y:</t>
  </si>
  <si>
    <t>Cost per unit*</t>
  </si>
  <si>
    <t>EL Parts:</t>
  </si>
  <si>
    <t>Finished Goods</t>
  </si>
  <si>
    <t>Units (5,000 * 119.30)</t>
  </si>
  <si>
    <t>Production Budget</t>
  </si>
  <si>
    <t>Finished Goods (EL)</t>
  </si>
  <si>
    <t>Finished Goods (BI)</t>
  </si>
  <si>
    <t>Materials X:</t>
  </si>
  <si>
    <t>Ending Inventory</t>
  </si>
  <si>
    <t>Budgeted Production</t>
  </si>
  <si>
    <t>Units required per product</t>
  </si>
  <si>
    <t>Beginning Inventory</t>
  </si>
  <si>
    <t>Units to be ordered</t>
  </si>
  <si>
    <t>Cost per unit</t>
  </si>
  <si>
    <t>Cost of purchases - Material X</t>
  </si>
  <si>
    <t>Materials Y:</t>
  </si>
  <si>
    <t>Cost of purchases - Material Y</t>
  </si>
  <si>
    <t>Total Purchases</t>
  </si>
  <si>
    <t>Direct Labor Budget</t>
  </si>
  <si>
    <t>Cutting</t>
  </si>
  <si>
    <t>Assembling</t>
  </si>
  <si>
    <t>Finishing</t>
  </si>
  <si>
    <t>Budgeted production</t>
  </si>
  <si>
    <t>Labor hours per unit</t>
  </si>
  <si>
    <t>Total hours</t>
  </si>
  <si>
    <t>Wage rate</t>
  </si>
  <si>
    <t>Total direct labor</t>
  </si>
  <si>
    <t>OT or SS wages</t>
  </si>
  <si>
    <t>Total wages</t>
  </si>
  <si>
    <r>
      <t xml:space="preserve">Note: Unless original equipment has been replaced </t>
    </r>
    <r>
      <rPr>
        <sz val="10"/>
        <color rgb="FFC00000"/>
        <rFont val="Century Schoolbook"/>
        <family val="1"/>
      </rPr>
      <t>finishing department labor is a fixed cost</t>
    </r>
    <r>
      <rPr>
        <sz val="10"/>
        <color theme="1"/>
        <rFont val="Century Schoolbook"/>
        <family val="1"/>
      </rPr>
      <t>.</t>
    </r>
  </si>
  <si>
    <t>fixed</t>
  </si>
  <si>
    <t>Variable Manufacturing Overhead</t>
  </si>
  <si>
    <t>Repairs and Maintenance</t>
  </si>
  <si>
    <t>Material spoilage loss</t>
  </si>
  <si>
    <t>Fixed manufacturing Overhead</t>
  </si>
  <si>
    <t>Production planning and control</t>
  </si>
  <si>
    <t>Factory workers training</t>
  </si>
  <si>
    <t>Production: 55,000 units</t>
  </si>
  <si>
    <t>Depreciation prod. Equip. &amp; tools</t>
  </si>
  <si>
    <t>Manufacturing Overhead Budget</t>
  </si>
  <si>
    <t>Cost of Goods Manufactured Statement</t>
  </si>
  <si>
    <t>Materials used:</t>
  </si>
  <si>
    <t>Materials X</t>
  </si>
  <si>
    <t>Materials Y</t>
  </si>
  <si>
    <t>Ending Inventory:</t>
  </si>
  <si>
    <r>
      <t xml:space="preserve">Direct Labor </t>
    </r>
    <r>
      <rPr>
        <sz val="10"/>
        <color rgb="FFC00000"/>
        <rFont val="Century Schoolbook"/>
        <family val="1"/>
      </rPr>
      <t>(#8)</t>
    </r>
  </si>
  <si>
    <r>
      <t xml:space="preserve">Variable Manufacturing Overhead </t>
    </r>
    <r>
      <rPr>
        <sz val="10"/>
        <color rgb="FFC00000"/>
        <rFont val="Century Schoolbook"/>
        <family val="1"/>
      </rPr>
      <t>(#9)</t>
    </r>
  </si>
  <si>
    <t>Total manufacturing costs</t>
  </si>
  <si>
    <t>Material purchases:</t>
  </si>
  <si>
    <t>&lt;-Balance Sheet</t>
  </si>
  <si>
    <t>(units ordered * 84,600)</t>
  </si>
  <si>
    <r>
      <t xml:space="preserve">Freight-in (X)* </t>
    </r>
    <r>
      <rPr>
        <sz val="10"/>
        <color rgb="FFC00000"/>
        <rFont val="Century Schoolbook"/>
        <family val="1"/>
      </rPr>
      <t>(.50)</t>
    </r>
  </si>
  <si>
    <r>
      <t xml:space="preserve">Material X </t>
    </r>
    <r>
      <rPr>
        <sz val="10"/>
        <color rgb="FFC00000"/>
        <rFont val="Century Schoolbook"/>
        <family val="1"/>
      </rPr>
      <t>(12.90 *15,000)</t>
    </r>
  </si>
  <si>
    <r>
      <t xml:space="preserve">Material Y </t>
    </r>
    <r>
      <rPr>
        <sz val="10"/>
        <color rgb="FFC00000"/>
        <rFont val="Century Schoolbook"/>
        <family val="1"/>
      </rPr>
      <t>(16 * 10,000)</t>
    </r>
  </si>
  <si>
    <t>&lt;- Balance Sheet</t>
  </si>
  <si>
    <t>Materials X *</t>
  </si>
  <si>
    <t>Spoilage (55,000*2.50)</t>
  </si>
  <si>
    <r>
      <t xml:space="preserve">CAP 8: Comprehensive Budgeting Problem </t>
    </r>
    <r>
      <rPr>
        <b/>
        <i/>
        <sz val="12"/>
        <color theme="1"/>
        <rFont val="Century Schoolbook"/>
        <family val="1"/>
      </rPr>
      <t>cont.</t>
    </r>
  </si>
  <si>
    <t>#5</t>
  </si>
  <si>
    <t>Selling Expense Budget</t>
  </si>
  <si>
    <t>General and Administrative Expense Budget</t>
  </si>
  <si>
    <t>Sales people commissions</t>
  </si>
  <si>
    <t>Sales people training</t>
  </si>
  <si>
    <r>
      <t xml:space="preserve">Sales people salaries </t>
    </r>
    <r>
      <rPr>
        <sz val="10"/>
        <color rgb="FFC00000"/>
        <rFont val="Century Schoolbook"/>
        <family val="1"/>
      </rPr>
      <t>(1,111 * 4000)</t>
    </r>
  </si>
  <si>
    <r>
      <t xml:space="preserve">Sales people travel </t>
    </r>
    <r>
      <rPr>
        <sz val="10"/>
        <color rgb="FFC00000"/>
        <rFont val="Century Schoolbook"/>
        <family val="1"/>
      </rPr>
      <t>(50,000 * 4.25)</t>
    </r>
  </si>
  <si>
    <t>Territory sales offices rentals</t>
  </si>
  <si>
    <t>Territory sales operating expenses</t>
  </si>
  <si>
    <t>Home office sales expense</t>
  </si>
  <si>
    <t>Credit department expenses</t>
  </si>
  <si>
    <r>
      <t xml:space="preserve">Packaging </t>
    </r>
    <r>
      <rPr>
        <sz val="10"/>
        <color rgb="FFC00000"/>
        <rFont val="Century Schoolbook"/>
        <family val="1"/>
      </rPr>
      <t>(50,000 * 1.50)</t>
    </r>
  </si>
  <si>
    <t>Executive Salaries</t>
  </si>
  <si>
    <t>Secretarial and clerical</t>
  </si>
  <si>
    <t>Depreciation, furniture and fixtures</t>
  </si>
  <si>
    <r>
      <t xml:space="preserve">Travel </t>
    </r>
    <r>
      <rPr>
        <sz val="10"/>
        <color rgb="FFC00000"/>
        <rFont val="Century Schoolbook"/>
        <family val="1"/>
      </rPr>
      <t xml:space="preserve">(50,000 sales * 3.25) </t>
    </r>
  </si>
  <si>
    <t>Sales (Territory)</t>
  </si>
  <si>
    <t>Cost of Goods Sold</t>
  </si>
  <si>
    <t>Finished goods (BI)</t>
  </si>
  <si>
    <t>Cost of goods manufactured</t>
  </si>
  <si>
    <t>Finished goods (EI)</t>
  </si>
  <si>
    <t>Less: Cost of Sales to Acme Co.</t>
  </si>
  <si>
    <t>Expenses</t>
  </si>
  <si>
    <t>Selling</t>
  </si>
  <si>
    <t>Fixed manufacturing overhead</t>
  </si>
  <si>
    <t>Net Operating Income</t>
  </si>
  <si>
    <t>Other Income and expenses</t>
  </si>
  <si>
    <t>Net sales to Acme Company</t>
  </si>
  <si>
    <t>Interest expense</t>
  </si>
  <si>
    <t>Net income before taxes</t>
  </si>
  <si>
    <t>Income taxes</t>
  </si>
  <si>
    <t>Total manufacturing costs/production</t>
  </si>
  <si>
    <t>Beginning Cash Balance</t>
  </si>
  <si>
    <t>Cash Receipts:</t>
  </si>
  <si>
    <t>Cash sales</t>
  </si>
  <si>
    <t>Accounts receivable collections</t>
  </si>
  <si>
    <t>Dividends, U.S. General Company</t>
  </si>
  <si>
    <t>Sale of U.S. General Co. stock</t>
  </si>
  <si>
    <t>Cash Disbursements:</t>
  </si>
  <si>
    <t>Selling expenses</t>
  </si>
  <si>
    <t>General and administrative expenses</t>
  </si>
  <si>
    <t>Material purchases (net of spoilage)</t>
  </si>
  <si>
    <t>Direct labor</t>
  </si>
  <si>
    <t>Freight-in (net of spoilage)</t>
  </si>
  <si>
    <t>Manufacturing overhead</t>
  </si>
  <si>
    <t>Machinery &amp; tool purchases</t>
  </si>
  <si>
    <t>Purchase of U.S. General Co. stock</t>
  </si>
  <si>
    <t>Dividends</t>
  </si>
  <si>
    <t>Retirement of bonds</t>
  </si>
  <si>
    <t>Payment of notes payable</t>
  </si>
  <si>
    <t>Payment of accounts payable</t>
  </si>
  <si>
    <t>Cash balance before financing</t>
  </si>
  <si>
    <t>Factoring of accounts receivable</t>
  </si>
  <si>
    <t>Sale of bonds</t>
  </si>
  <si>
    <t>Sale of stocks</t>
  </si>
  <si>
    <t>Notes payable (First National Bank)</t>
  </si>
  <si>
    <t>Ending cash balance</t>
  </si>
  <si>
    <t>Purchase of treasury stock</t>
  </si>
  <si>
    <t>Overhead</t>
  </si>
  <si>
    <t>Borrow</t>
  </si>
  <si>
    <t>Accounts Pay</t>
  </si>
  <si>
    <t>CAP 8: V.K. Gadget Company Cash Budget</t>
  </si>
  <si>
    <t>CAP 8: V.K.Gadget Company - Statement of Financial Position</t>
  </si>
  <si>
    <t>ASSETS</t>
  </si>
  <si>
    <t>Current:</t>
  </si>
  <si>
    <t>Cash</t>
  </si>
  <si>
    <t>Accounts receivable</t>
  </si>
  <si>
    <t>Allowance for bad debts</t>
  </si>
  <si>
    <t>Materials</t>
  </si>
  <si>
    <t>Finished goods</t>
  </si>
  <si>
    <t>Total Current Assets</t>
  </si>
  <si>
    <t>Future reduction income taxes</t>
  </si>
  <si>
    <t>Fixed:</t>
  </si>
  <si>
    <t>Production equipment &amp; tools</t>
  </si>
  <si>
    <t>Accumulated depreciation, P E &amp; T</t>
  </si>
  <si>
    <t>Furniture and Fixtures</t>
  </si>
  <si>
    <t>Accumulated depreciation, F &amp; F</t>
  </si>
  <si>
    <t>Building</t>
  </si>
  <si>
    <t>Accumulated depreciation building</t>
  </si>
  <si>
    <t>Total Fixed Assets</t>
  </si>
  <si>
    <t>LIABILITIES</t>
  </si>
  <si>
    <t>Accounts payable</t>
  </si>
  <si>
    <t>Notes payable</t>
  </si>
  <si>
    <t>Accreud income taxes payable</t>
  </si>
  <si>
    <t>Total Current liabilities</t>
  </si>
  <si>
    <t>Long Term:</t>
  </si>
  <si>
    <t>Bonds payable</t>
  </si>
  <si>
    <t>Total Liabilities</t>
  </si>
  <si>
    <t>STOCKHOLDERS' EQUITY</t>
  </si>
  <si>
    <t>Common stock (authorized; issued)</t>
  </si>
  <si>
    <t>Premium/discount on common stock</t>
  </si>
  <si>
    <t>Retained earnings</t>
  </si>
  <si>
    <t>Total Stockholders' equity</t>
  </si>
  <si>
    <t>Less: Treasury stock</t>
  </si>
  <si>
    <t>Total Liabilities and Stockholders' Equity</t>
  </si>
  <si>
    <t>Investments:</t>
  </si>
  <si>
    <t>Investment in U.S. General Co. stock</t>
  </si>
  <si>
    <t>Total Assests</t>
  </si>
  <si>
    <t>CAP 9: Flexible Budgeting</t>
  </si>
  <si>
    <t>Form A - Worksheet for Requirement 1: Flexible Budget Work Sheet</t>
  </si>
  <si>
    <t>Units of product sold</t>
  </si>
  <si>
    <t>Units of product manufactured</t>
  </si>
  <si>
    <t>Selling expenses - variable rates</t>
  </si>
  <si>
    <t>Cost of goods sold</t>
  </si>
  <si>
    <t>Sales peoples' commissions</t>
  </si>
  <si>
    <t>Sales people travel</t>
  </si>
  <si>
    <t>Total Variable Selling</t>
  </si>
  <si>
    <t>General and Administrative expenses - variable rates</t>
  </si>
  <si>
    <t>Total variable General &amp; Administrative</t>
  </si>
  <si>
    <t>Material (rate per product)</t>
  </si>
  <si>
    <r>
      <t>Freight-in (Materials X) (</t>
    </r>
    <r>
      <rPr>
        <b/>
        <u/>
        <sz val="10"/>
        <color rgb="FF00B050"/>
        <rFont val="Century Schoolbook"/>
        <family val="1"/>
      </rPr>
      <t xml:space="preserve">4 </t>
    </r>
    <r>
      <rPr>
        <sz val="10"/>
        <rFont val="Century Schoolbook"/>
        <family val="1"/>
      </rPr>
      <t xml:space="preserve"> x </t>
    </r>
    <r>
      <rPr>
        <b/>
        <u/>
        <sz val="10"/>
        <color rgb="FF00B050"/>
        <rFont val="Century Schoolbook"/>
        <family val="1"/>
      </rPr>
      <t xml:space="preserve">.50 </t>
    </r>
    <r>
      <rPr>
        <sz val="10"/>
        <rFont val="Century Schoolbook"/>
        <family val="1"/>
      </rPr>
      <t>)</t>
    </r>
  </si>
  <si>
    <r>
      <t xml:space="preserve">Cost per product ( </t>
    </r>
    <r>
      <rPr>
        <b/>
        <u/>
        <sz val="10"/>
        <color rgb="FF00B050"/>
        <rFont val="Century Schoolbook"/>
        <family val="1"/>
      </rPr>
      <t xml:space="preserve">4 </t>
    </r>
    <r>
      <rPr>
        <b/>
        <sz val="10"/>
        <color theme="1"/>
        <rFont val="Century Schoolbook"/>
        <family val="1"/>
      </rPr>
      <t xml:space="preserve">x </t>
    </r>
    <r>
      <rPr>
        <b/>
        <u/>
        <sz val="10"/>
        <color rgb="FF00B050"/>
        <rFont val="Century Schoolbook"/>
        <family val="1"/>
      </rPr>
      <t>10</t>
    </r>
    <r>
      <rPr>
        <sz val="10"/>
        <color theme="1"/>
        <rFont val="Century Schoolbook"/>
        <family val="1"/>
      </rPr>
      <t>)</t>
    </r>
  </si>
  <si>
    <t>Labor:</t>
  </si>
  <si>
    <r>
      <t xml:space="preserve">Cutting department ( </t>
    </r>
    <r>
      <rPr>
        <b/>
        <u/>
        <sz val="10"/>
        <color rgb="FF00B050"/>
        <rFont val="Century Schoolbook"/>
        <family val="1"/>
      </rPr>
      <t xml:space="preserve">8 </t>
    </r>
    <r>
      <rPr>
        <sz val="10"/>
        <rFont val="Century Schoolbook"/>
        <family val="1"/>
      </rPr>
      <t xml:space="preserve"> x </t>
    </r>
    <r>
      <rPr>
        <b/>
        <u/>
        <sz val="10"/>
        <color rgb="FF00B050"/>
        <rFont val="Century Schoolbook"/>
        <family val="1"/>
      </rPr>
      <t xml:space="preserve">2.77 </t>
    </r>
    <r>
      <rPr>
        <sz val="10"/>
        <rFont val="Century Schoolbook"/>
        <family val="1"/>
      </rPr>
      <t xml:space="preserve"> )</t>
    </r>
  </si>
  <si>
    <t>Manufacturing overhead - variable rates</t>
  </si>
  <si>
    <t>Suppolies</t>
  </si>
  <si>
    <t>Total variable overhead</t>
  </si>
  <si>
    <t>Total variable manufacturing cost</t>
  </si>
  <si>
    <t>Estimated Total Cost</t>
  </si>
  <si>
    <t>Rate per Unit of Product</t>
  </si>
  <si>
    <r>
      <t xml:space="preserve">Assemblydepartment ( </t>
    </r>
    <r>
      <rPr>
        <b/>
        <u/>
        <sz val="10"/>
        <color rgb="FF00B050"/>
        <rFont val="Century Schoolbook"/>
        <family val="1"/>
      </rPr>
      <t xml:space="preserve">8 </t>
    </r>
    <r>
      <rPr>
        <sz val="10"/>
        <rFont val="Century Schoolbook"/>
        <family val="1"/>
      </rPr>
      <t xml:space="preserve"> x </t>
    </r>
    <r>
      <rPr>
        <b/>
        <u/>
        <sz val="10"/>
        <color rgb="FF00B050"/>
        <rFont val="Century Schoolbook"/>
        <family val="1"/>
      </rPr>
      <t xml:space="preserve">2.77 </t>
    </r>
    <r>
      <rPr>
        <sz val="10"/>
        <rFont val="Century Schoolbook"/>
        <family val="1"/>
      </rPr>
      <t xml:space="preserve"> )</t>
    </r>
  </si>
  <si>
    <t>Finishing dept. [labor is fixed in this dept.]</t>
  </si>
  <si>
    <t>XXXXXXX</t>
  </si>
  <si>
    <t>(÷ 60,000)</t>
  </si>
  <si>
    <t>(÷ 50,000)</t>
  </si>
  <si>
    <t>note: See Blank Sheet</t>
  </si>
  <si>
    <t>originally page 161</t>
  </si>
  <si>
    <t>Form B - Worksheet for Requirement 2: Flexible Budget - Manufacturing</t>
  </si>
  <si>
    <t>originally page 162</t>
  </si>
  <si>
    <t>Material:</t>
  </si>
  <si>
    <t>Cutting department</t>
  </si>
  <si>
    <t>Assembly department</t>
  </si>
  <si>
    <t>Material spoilage</t>
  </si>
  <si>
    <t>Total variable mfg.</t>
  </si>
  <si>
    <t>Fixed overhead:</t>
  </si>
  <si>
    <t>fixed direct labor</t>
  </si>
  <si>
    <t>Prod. Plan. &amp; Cont.</t>
  </si>
  <si>
    <t>Pur. &amp; receiving costs</t>
  </si>
  <si>
    <t>Depreciation, production equipment</t>
  </si>
  <si>
    <t>Factory training cost</t>
  </si>
  <si>
    <t>Total fixed</t>
  </si>
  <si>
    <t>Units of Products Manufactured</t>
  </si>
  <si>
    <t>1778545 ÷ 6000</t>
  </si>
  <si>
    <t>2261825 ÷ 10000</t>
  </si>
  <si>
    <t>2745105 ÷ 14000</t>
  </si>
  <si>
    <t>Total per unit (cost/amount)</t>
  </si>
  <si>
    <t>Cost Goods Sold</t>
  </si>
  <si>
    <t>$40</t>
  </si>
  <si>
    <t>2</t>
  </si>
  <si>
    <t>freight</t>
  </si>
  <si>
    <t>42</t>
  </si>
  <si>
    <t>10 x 40</t>
  </si>
  <si>
    <t>14 x 2 units</t>
  </si>
  <si>
    <t>=28</t>
  </si>
  <si>
    <t>70</t>
  </si>
  <si>
    <t>16 x 2.77</t>
  </si>
  <si>
    <t>44.23</t>
  </si>
  <si>
    <t>114.23</t>
  </si>
  <si>
    <t>x 60,000</t>
  </si>
  <si>
    <t>6,859,800</t>
  </si>
  <si>
    <t>390,000</t>
  </si>
  <si>
    <t>over</t>
  </si>
  <si>
    <t>=7,249,800 ÷ 60,000</t>
  </si>
  <si>
    <t>CGS = 120.83 x 60,000</t>
  </si>
  <si>
    <t>CAP 9: #3: In March, the actual number of units sold was 8,724. What would be the total selling and total general and administrativew standard cost at this level of sales activity?</t>
  </si>
  <si>
    <t>#4: What is the Standard Variable Cost at 57,024 units?</t>
  </si>
  <si>
    <t>= 57,024 x 120.82 = $6,889,640</t>
  </si>
  <si>
    <t>#5: State mathematically the flexible budgets prepared on Forms B &amp; C</t>
  </si>
  <si>
    <t>TC = 6,410,625 + 160.79 (vol.)</t>
  </si>
  <si>
    <t>originally page 163</t>
  </si>
  <si>
    <t>Form C - Worksheet for Requirement 2: Flexible Budgets - Selling, General and Administrative</t>
  </si>
  <si>
    <t>Sales people commission</t>
  </si>
  <si>
    <t>VARIABLE SELLING</t>
  </si>
  <si>
    <t>Total variable Selling</t>
  </si>
  <si>
    <t>Variable General and Administrative</t>
  </si>
  <si>
    <t>Total variable G &amp; A</t>
  </si>
  <si>
    <t>Total variable</t>
  </si>
  <si>
    <t>FIXED SELLING</t>
  </si>
  <si>
    <t>Sales people's salaries</t>
  </si>
  <si>
    <t>Sales people's training</t>
  </si>
  <si>
    <t>Home office sales expenses</t>
  </si>
  <si>
    <t>Total fixed selling</t>
  </si>
  <si>
    <t>FIXED GENERAL AND ADMINISTRATIVE</t>
  </si>
  <si>
    <t>Secretarial &amp; Clerical</t>
  </si>
  <si>
    <t>Depreciation, furniture</t>
  </si>
  <si>
    <t>Total general &amp; administrative</t>
  </si>
  <si>
    <t>Total fixed expenses</t>
  </si>
  <si>
    <t>Total expenses</t>
  </si>
  <si>
    <t>Territory offices operating</t>
  </si>
  <si>
    <t>7375365 ÷ 6000</t>
  </si>
  <si>
    <t>8018525 ÷ 10000</t>
  </si>
  <si>
    <t>8661685 ÷ 14000</t>
  </si>
  <si>
    <t>CAP 12: Keep of Replace Finishing Department Equipment: Incremental Analysis Approach</t>
  </si>
  <si>
    <t>Cost of old equipment</t>
  </si>
  <si>
    <t>Old</t>
  </si>
  <si>
    <t>450,000 ÷ 40 qts</t>
  </si>
  <si>
    <t>Less Trade-in</t>
  </si>
  <si>
    <t>150,000 ÷ 40 qts</t>
  </si>
  <si>
    <t>Cost of equipment ÷ 40 qts</t>
  </si>
  <si>
    <t>Installation cost ÷ 40</t>
  </si>
  <si>
    <t>Fixed labor - 1st shift</t>
  </si>
  <si>
    <t>@ 2, 1.50, 1.00</t>
  </si>
  <si>
    <t>@ .75, .50, 1.00</t>
  </si>
  <si>
    <t>TOTAL COST</t>
  </si>
  <si>
    <t>per unit</t>
  </si>
  <si>
    <t>4 x 30,000</t>
  </si>
  <si>
    <t xml:space="preserve">Variable labor </t>
  </si>
  <si>
    <t>Interest - A</t>
  </si>
  <si>
    <t>Interest - B</t>
  </si>
  <si>
    <t xml:space="preserve"> ÷ 30,000</t>
  </si>
  <si>
    <t>#4</t>
  </si>
  <si>
    <t>at low levels of production the lower fixed costs more than offset the low variable cost of equipment A</t>
  </si>
  <si>
    <t>the loss on trade will reduce income in month of trade but might be less reduced operating cost of new equipment. Benefit will continue to accrue in quarters 6 &amp; 7</t>
  </si>
  <si>
    <t>CAP 13: Opening a New Territory: Incremental Analysis Approach</t>
  </si>
  <si>
    <t>#1: No Credit</t>
  </si>
  <si>
    <t>$148.10 x 13,440 =</t>
  </si>
  <si>
    <t>2 x 13,440 =</t>
  </si>
  <si>
    <t>Sales Commission</t>
  </si>
  <si>
    <t>4,368,000 x .1 =</t>
  </si>
  <si>
    <t>Sales Travel</t>
  </si>
  <si>
    <t>6.89 x 13,440 =</t>
  </si>
  <si>
    <t>General and Administrative</t>
  </si>
  <si>
    <t>3.15 x 13,440 =</t>
  </si>
  <si>
    <t>1.00 x 13,440 =</t>
  </si>
  <si>
    <t xml:space="preserve">Potential of 160,000 x .28 x .3 = 13,440 x 325 = </t>
  </si>
  <si>
    <t>Salaries</t>
  </si>
  <si>
    <t>Sales Training</t>
  </si>
  <si>
    <t>Territory Sales office</t>
  </si>
  <si>
    <t>Territory sales operations</t>
  </si>
  <si>
    <t>Segment Margin</t>
  </si>
  <si>
    <t>#3</t>
  </si>
  <si>
    <t>Change in price</t>
  </si>
  <si>
    <t>Purchase X &amp; Y at lower price due to volume discount</t>
  </si>
  <si>
    <t>Change in wages (wage rate)</t>
  </si>
  <si>
    <t>Offering credit terms</t>
  </si>
  <si>
    <t>Change in commission</t>
  </si>
  <si>
    <t>G</t>
  </si>
  <si>
    <t>Purchase of new Equipment in finishing department</t>
  </si>
  <si>
    <t>etc… etc… etc…</t>
  </si>
  <si>
    <t>#2</t>
  </si>
  <si>
    <t>Sales 13,440 x 1.2 = 16,128 x 325 =</t>
  </si>
  <si>
    <t>Selling 16,128 x 148.10 =</t>
  </si>
  <si>
    <t>Packaging 16,128 x 2 =</t>
  </si>
  <si>
    <t>5,241,600 x .1 =</t>
  </si>
  <si>
    <t>6.89 x 16,128 =</t>
  </si>
  <si>
    <t>.015 x 5,241,600 =</t>
  </si>
  <si>
    <t>Credit</t>
  </si>
  <si>
    <t>.85 x 16,128</t>
  </si>
  <si>
    <t>3.15 x 16,128 =</t>
  </si>
  <si>
    <t>1.00 x 16,128 =</t>
  </si>
  <si>
    <t>CAP 15: Accept or Reject Special Offer</t>
  </si>
  <si>
    <t>Accept</t>
  </si>
  <si>
    <t>Reject</t>
  </si>
  <si>
    <t>57,024 x 300 =</t>
  </si>
  <si>
    <t>15,000 x 220 =</t>
  </si>
  <si>
    <t>Variable</t>
  </si>
  <si>
    <t>138.16 x 72,024 =</t>
  </si>
  <si>
    <t>Other Variable Selling Cost</t>
  </si>
  <si>
    <t>from CAP 1</t>
  </si>
  <si>
    <t>Fixed (from CAP 1)</t>
  </si>
  <si>
    <t>Manufacturing (fixed)</t>
  </si>
  <si>
    <t>Total Expenses</t>
  </si>
  <si>
    <t>&lt;-1,090,623&gt;</t>
  </si>
  <si>
    <t>138.16 x 57,024 =</t>
  </si>
  <si>
    <t>Other Variable Selling</t>
  </si>
  <si>
    <t>Fixed</t>
  </si>
  <si>
    <t>Net Income</t>
  </si>
  <si>
    <t>Net Loss</t>
  </si>
  <si>
    <t>&lt;-2,318,223&gt;</t>
  </si>
  <si>
    <t>$1,227,600 Extra Revenue</t>
  </si>
  <si>
    <t xml:space="preserve">#2: </t>
  </si>
  <si>
    <t>220 x 15,000 =</t>
  </si>
  <si>
    <t>138.16 x 15,000 =</t>
  </si>
  <si>
    <t>contribution margin</t>
  </si>
  <si>
    <t>Price cannot be lower than variable costs of manufacturing (no other variable costs)</t>
  </si>
  <si>
    <t>Excess capacity</t>
  </si>
  <si>
    <t>Purchases must not be able to compete (Robinson - Peckman Act)</t>
  </si>
  <si>
    <t>Shor term decision because extra production will eventually affect fixed overhead costs</t>
  </si>
  <si>
    <t>Price must be more than variables related to the offer</t>
  </si>
  <si>
    <t>Since we do not have excess capacity do not accept Reg CM</t>
  </si>
  <si>
    <t>300-(138.16 + 45.98 + 4.15) = 300 - 188.29 = 111.71</t>
  </si>
  <si>
    <t>Special Variable</t>
  </si>
  <si>
    <t>CAP 17: Capacity Analysis: Incremental Analysis Approach</t>
  </si>
  <si>
    <t>#1: Need Product 60,000!</t>
  </si>
  <si>
    <t>1.8 output</t>
  </si>
  <si>
    <t xml:space="preserve"> ÷ 5 works</t>
  </si>
  <si>
    <t>= .36</t>
  </si>
  <si>
    <t>1 ÷ .36</t>
  </si>
  <si>
    <t>=2.778</t>
  </si>
  <si>
    <t xml:space="preserve">Labor hours per unit =&gt; 2.778 x 28,512 units = </t>
  </si>
  <si>
    <t>79,200</t>
  </si>
  <si>
    <t>x $8.00</t>
  </si>
  <si>
    <t>$633,600</t>
  </si>
  <si>
    <t>Assembly</t>
  </si>
  <si>
    <t>633,600</t>
  </si>
  <si>
    <t>$1,267,200</t>
  </si>
  <si>
    <t>30 machines</t>
  </si>
  <si>
    <t>x 1.8</t>
  </si>
  <si>
    <t>output per machine</t>
  </si>
  <si>
    <t>54</t>
  </si>
  <si>
    <t>x 8 hours</t>
  </si>
  <si>
    <t>x 66 production days</t>
  </si>
  <si>
    <t>x 2</t>
  </si>
  <si>
    <t xml:space="preserve">57,024 </t>
  </si>
  <si>
    <t>capacity 2 shifts</t>
  </si>
  <si>
    <t>labor hours for 1st shift</t>
  </si>
  <si>
    <t>28,512 - 60,000</t>
  </si>
  <si>
    <t>#2: Second Shift &amp; Overtime</t>
  </si>
  <si>
    <t>1st &amp; 2nd Shift Cap</t>
  </si>
  <si>
    <t>1st Shift</t>
  </si>
  <si>
    <t>wages</t>
  </si>
  <si>
    <t>2nd Shift</t>
  </si>
  <si>
    <t>= 633,300 x 1.2</t>
  </si>
  <si>
    <t>1,267,200 x 1.1 =</t>
  </si>
  <si>
    <t>======&gt;</t>
  </si>
  <si>
    <t>[from #1]</t>
  </si>
  <si>
    <t>Cost of 2nd Shift</t>
  </si>
  <si>
    <t>x 2.7778</t>
  </si>
  <si>
    <t>overtime on 1st shift</t>
  </si>
  <si>
    <t>8,267 hours x $8 x 1.5 = 8,267 x $12 =</t>
  </si>
  <si>
    <t>= $46/unit in labor cost</t>
  </si>
  <si>
    <t>CAP 19: Inventory Mangement and Order Size: No Quantity Discounts</t>
  </si>
  <si>
    <t>Discount</t>
  </si>
  <si>
    <t>x .8</t>
  </si>
  <si>
    <t>x .9</t>
  </si>
  <si>
    <t>Freight</t>
  </si>
  <si>
    <t>Minimum Defect</t>
  </si>
  <si>
    <t>Maximum Defect</t>
  </si>
  <si>
    <t>Real Cost</t>
  </si>
  <si>
    <t>min</t>
  </si>
  <si>
    <t>max</t>
  </si>
  <si>
    <t xml:space="preserve">#1: Compute the net cost (list price less discount) of material X for suppliers A, B, C. Include freight in your answer. Also, make an appropriate allowance for spoilage. </t>
  </si>
  <si>
    <t>#2: Compute the optimum order size for material X using EOQ model presented above. Assume that management has ruled out buying material X from Supplier D. Also assume that the purchases budget shows a need for 260,000 unites of material X to be purchased. This number of unites includes a 20,000 unit allowance for safety stock.</t>
  </si>
  <si>
    <t>Minimum</t>
  </si>
  <si>
    <t>maximum</t>
  </si>
  <si>
    <t>Average</t>
  </si>
  <si>
    <t>EOQ Assumptions</t>
  </si>
  <si>
    <t>#3: Based on the optimum orders size computed in requirement 2, compute total purchasing and total carrying cost assuming: maximum values for purchasing and carrying; minimum values for purchasing and carrying costs; average values for purchasing and carrying costs.</t>
  </si>
  <si>
    <t>Order Size</t>
  </si>
  <si>
    <t>Units Required</t>
  </si>
  <si>
    <t>80.6 orders x 30 =</t>
  </si>
  <si>
    <t>==&gt;</t>
  </si>
  <si>
    <t>orders ==&gt;</t>
  </si>
  <si>
    <t>1,612 x 1.50 =</t>
  </si>
  <si>
    <t>65.82 orders x 60 =</t>
  </si>
  <si>
    <t>1,975 x 2 =</t>
  </si>
  <si>
    <t>71.10 orders x 45 =</t>
  </si>
  <si>
    <t>1,829 x 1.75 =</t>
  </si>
  <si>
    <t>EOQ!</t>
  </si>
  <si>
    <t>CAP 20: Inventory Management and Quantity Discounts</t>
  </si>
  <si>
    <r>
      <t xml:space="preserve">60,000 units x 4 = 240,000 </t>
    </r>
    <r>
      <rPr>
        <i/>
        <sz val="10"/>
        <color theme="1"/>
        <rFont val="Century Schoolbook"/>
        <family val="1"/>
      </rPr>
      <t>Demand</t>
    </r>
  </si>
  <si>
    <t>carrying cost (CC)</t>
  </si>
  <si>
    <t>= 120,000 x 1.50 = 180,000</t>
  </si>
  <si>
    <t>1 purchase cost x $30 = 30</t>
  </si>
  <si>
    <t>240,000 x 8 =</t>
  </si>
  <si>
    <t>Maximum</t>
  </si>
  <si>
    <t>1 purchase cost x $60 = 60</t>
  </si>
  <si>
    <t>= 120,000 x 2 = 240,000</t>
  </si>
  <si>
    <r>
      <t xml:space="preserve">100,000 </t>
    </r>
    <r>
      <rPr>
        <i/>
        <sz val="10"/>
        <color theme="1"/>
        <rFont val="Century Schoolbook"/>
        <family val="1"/>
      </rPr>
      <t>Demand</t>
    </r>
  </si>
  <si>
    <t>= 50,000 x 1.50 = 75,000</t>
  </si>
  <si>
    <t xml:space="preserve"> = </t>
  </si>
  <si>
    <t>2.4 orders x 30 = 72</t>
  </si>
  <si>
    <t>240,000 x 10=</t>
  </si>
  <si>
    <t>2.4 orders x 60 = 144</t>
  </si>
  <si>
    <t>= 50,000 x 2 = 100,000</t>
  </si>
  <si>
    <t>240,000 x 10 =</t>
  </si>
  <si>
    <r>
      <t xml:space="preserve">200,000 </t>
    </r>
    <r>
      <rPr>
        <i/>
        <sz val="10"/>
        <color theme="1"/>
        <rFont val="Century Schoolbook"/>
        <family val="1"/>
      </rPr>
      <t>Demand</t>
    </r>
  </si>
  <si>
    <t>1.2 orders x 30 = 36</t>
  </si>
  <si>
    <t>= 100,000 x 1.50 = 150,000</t>
  </si>
  <si>
    <t>240,000 x 8=</t>
  </si>
  <si>
    <t>1.2 orders x 60 = 72</t>
  </si>
  <si>
    <t>= 100,000 x 2 = 200,000</t>
  </si>
  <si>
    <r>
      <t xml:space="preserve">60,000 units x 2 = 120,000 </t>
    </r>
    <r>
      <rPr>
        <i/>
        <sz val="10"/>
        <color theme="1"/>
        <rFont val="Century Schoolbook"/>
        <family val="1"/>
      </rPr>
      <t>Annual</t>
    </r>
    <r>
      <rPr>
        <sz val="10"/>
        <color theme="1"/>
        <rFont val="Century Schoolbook"/>
        <family val="1"/>
      </rPr>
      <t xml:space="preserve"> </t>
    </r>
    <r>
      <rPr>
        <i/>
        <sz val="10"/>
        <color theme="1"/>
        <rFont val="Century Schoolbook"/>
        <family val="1"/>
      </rPr>
      <t>Demand</t>
    </r>
  </si>
  <si>
    <t>= 60,000 x 2 = 120,000</t>
  </si>
  <si>
    <t>120,000 x 12 =</t>
  </si>
  <si>
    <t>= 60,000 x 2.8 = 168,000</t>
  </si>
  <si>
    <r>
      <t xml:space="preserve">50,000 </t>
    </r>
    <r>
      <rPr>
        <i/>
        <sz val="10"/>
        <color theme="1"/>
        <rFont val="Century Schoolbook"/>
        <family val="1"/>
      </rPr>
      <t>Demand</t>
    </r>
  </si>
  <si>
    <t>= 25,000 x 2 = 50,000</t>
  </si>
  <si>
    <t>120,000 x 14=</t>
  </si>
  <si>
    <t>= 25,000 x 2.8 = 70,000</t>
  </si>
  <si>
    <t>120,000 x 14 =</t>
  </si>
  <si>
    <t>4.8 orders x 30 = 144</t>
  </si>
  <si>
    <t>= 25,000 x 1.50 = 37,500</t>
  </si>
  <si>
    <t>240,000 x 12=</t>
  </si>
  <si>
    <t>4.8 orders x 60 = 288</t>
  </si>
  <si>
    <t>240,000 x 12 =</t>
  </si>
  <si>
    <r>
      <t xml:space="preserve">25,000 </t>
    </r>
    <r>
      <rPr>
        <i/>
        <sz val="10"/>
        <color theme="1"/>
        <rFont val="Century Schoolbook"/>
        <family val="1"/>
      </rPr>
      <t>Demand</t>
    </r>
  </si>
  <si>
    <t>= 12,500 x 2 = 25,000</t>
  </si>
  <si>
    <t>120,000 x 16=</t>
  </si>
  <si>
    <t>= 25,000 x 2.8 = 70000</t>
  </si>
  <si>
    <t>??</t>
  </si>
  <si>
    <t>= 12,500 x 2.8 = 35,000</t>
  </si>
  <si>
    <t>120,000 x 16 =</t>
  </si>
  <si>
    <t>CAP 24: Analysis of Sales People Compensation</t>
  </si>
  <si>
    <t>#1: 900,000 x .28 = 252,000 calls</t>
  </si>
  <si>
    <t>Plan</t>
  </si>
  <si>
    <t>Sales People</t>
  </si>
  <si>
    <t>Salary</t>
  </si>
  <si>
    <t>Total Salary</t>
  </si>
  <si>
    <t>% Commission</t>
  </si>
  <si>
    <t>$ Commission</t>
  </si>
  <si>
    <t>Total Compensation</t>
  </si>
  <si>
    <t>Compensation/Sales Person</t>
  </si>
  <si>
    <t>Sales Compensation per Unit</t>
  </si>
  <si>
    <t xml:space="preserve">Sales </t>
  </si>
  <si>
    <t>#2: 900,000 x .28 = 252,000 calls x 4 = 100,800 Sales Units</t>
  </si>
  <si>
    <t>#3: 900,000 x .45 x .4  = 162,000 calls + $240 price</t>
  </si>
  <si>
    <t>Total Fixed Manufacturing overhead</t>
  </si>
  <si>
    <t>Direct Materials Used</t>
  </si>
  <si>
    <t>probably wants to be included</t>
  </si>
  <si>
    <r>
      <t xml:space="preserve">Supplies </t>
    </r>
    <r>
      <rPr>
        <sz val="10"/>
        <color rgb="FFC00000"/>
        <rFont val="Century Schoolbook"/>
        <family val="1"/>
      </rPr>
      <t>(1.1 * 55,000)</t>
    </r>
  </si>
  <si>
    <t>fix this!</t>
  </si>
  <si>
    <t>FIX this one!</t>
  </si>
  <si>
    <t>find error on this statement!</t>
  </si>
  <si>
    <t>paying for the bad/spoiled units' freight</t>
  </si>
  <si>
    <t>Gross Profit (Territory) a.k.a. contribution margin</t>
  </si>
  <si>
    <r>
      <t xml:space="preserve">CAP 8: V.K. Gadget Company Budgeted Income Statement - </t>
    </r>
    <r>
      <rPr>
        <b/>
        <sz val="12"/>
        <color rgb="FFC00000"/>
        <rFont val="Century Schoolbook"/>
        <family val="1"/>
      </rPr>
      <t>Direct Costing Basis</t>
    </r>
  </si>
  <si>
    <r>
      <t>OK-corrections made -</t>
    </r>
    <r>
      <rPr>
        <b/>
        <i/>
        <sz val="12"/>
        <color rgb="FFFF0000"/>
        <rFont val="Century Schoolbook"/>
        <family val="1"/>
      </rPr>
      <t>I think</t>
    </r>
  </si>
  <si>
    <r>
      <t>Cost per product ( 2</t>
    </r>
    <r>
      <rPr>
        <b/>
        <u/>
        <sz val="10"/>
        <color rgb="FF00B050"/>
        <rFont val="Century Schoolbook"/>
        <family val="1"/>
      </rPr>
      <t xml:space="preserve"> </t>
    </r>
    <r>
      <rPr>
        <sz val="10"/>
        <rFont val="Century Schoolbook"/>
        <family val="1"/>
      </rPr>
      <t xml:space="preserve"> x </t>
    </r>
    <r>
      <rPr>
        <b/>
        <u/>
        <sz val="10"/>
        <color rgb="FF00B050"/>
        <rFont val="Century Schoolbook"/>
        <family val="1"/>
      </rPr>
      <t xml:space="preserve">14 </t>
    </r>
    <r>
      <rPr>
        <sz val="10"/>
        <rFont val="Century Schoolbook"/>
        <family val="1"/>
      </rPr>
      <t xml:space="preserve"> )</t>
    </r>
  </si>
  <si>
    <t>8 x 30,000</t>
  </si>
  <si>
    <t>*</t>
  </si>
  <si>
    <t>4 x 60,000</t>
  </si>
  <si>
    <t>8 x 60,000</t>
  </si>
  <si>
    <t xml:space="preserve"> ÷ 60,000</t>
  </si>
  <si>
    <t>Fixed labor - 2nd shift</t>
  </si>
  <si>
    <t>20% differential</t>
  </si>
  <si>
    <t>CAP 12: Keep of Replace Finishing Department Equipment: Incremental Analysis Approach (#2: 30,000/quarter)</t>
  </si>
  <si>
    <t>CAP 12: Keep of Replace Finishing Department Equipment: Incremental Analysis Approach (#1: 60,000/quarter)</t>
  </si>
  <si>
    <r>
      <t xml:space="preserve">contibution marging minus the </t>
    </r>
    <r>
      <rPr>
        <i/>
        <sz val="10"/>
        <color theme="1"/>
        <rFont val="Century Schoolbook"/>
        <family val="1"/>
      </rPr>
      <t>common fixed</t>
    </r>
    <r>
      <rPr>
        <sz val="10"/>
        <color theme="1"/>
        <rFont val="Century Schoolbook"/>
        <family val="1"/>
      </rPr>
      <t xml:space="preserve"> = segment margin</t>
    </r>
  </si>
  <si>
    <r>
      <t xml:space="preserve">Selling 16,128 x </t>
    </r>
    <r>
      <rPr>
        <sz val="10"/>
        <color rgb="FFC00000"/>
        <rFont val="Century Schoolbook"/>
        <family val="1"/>
      </rPr>
      <t>148.16</t>
    </r>
    <r>
      <rPr>
        <sz val="10"/>
        <color theme="1"/>
        <rFont val="Century Schoolbook"/>
        <family val="1"/>
      </rPr>
      <t xml:space="preserve"> =</t>
    </r>
  </si>
  <si>
    <r>
      <rPr>
        <sz val="10"/>
        <color rgb="FFC00000"/>
        <rFont val="Century Schoolbook"/>
        <family val="1"/>
      </rPr>
      <t>$148.16</t>
    </r>
    <r>
      <rPr>
        <sz val="10"/>
        <color theme="1"/>
        <rFont val="Century Schoolbook"/>
        <family val="1"/>
      </rPr>
      <t xml:space="preserve"> x 13,440 =</t>
    </r>
  </si>
  <si>
    <r>
      <rPr>
        <i/>
        <sz val="10"/>
        <color rgb="FFC00000"/>
        <rFont val="Century Schoolbook"/>
        <family val="1"/>
      </rPr>
      <t>Segment margin</t>
    </r>
    <r>
      <rPr>
        <sz val="10"/>
        <color theme="1"/>
        <rFont val="Century Schoolbook"/>
        <family val="1"/>
      </rPr>
      <t xml:space="preserve"> is obtained by deducting the traceable fixed costs of a segment from the segment's contribution margin. It represents the margin avalable after a segment has covered all of its own costs. It includes on those costs that are caused by the segment.</t>
    </r>
  </si>
  <si>
    <t xml:space="preserve">Contribution Margin </t>
  </si>
  <si>
    <r>
      <t>#1: Cost of Goods $</t>
    </r>
    <r>
      <rPr>
        <sz val="10"/>
        <color rgb="FFC00000"/>
        <rFont val="Century Schoolbook"/>
        <family val="1"/>
      </rPr>
      <t>138.16</t>
    </r>
    <r>
      <rPr>
        <sz val="10"/>
        <color theme="1"/>
        <rFont val="Century Schoolbook"/>
        <family val="1"/>
      </rPr>
      <t xml:space="preserve"> per CAP 13</t>
    </r>
  </si>
  <si>
    <r>
      <t>#1: Cost of Goods $</t>
    </r>
    <r>
      <rPr>
        <sz val="10"/>
        <color rgb="FFC00000"/>
        <rFont val="Century Schoolbook"/>
        <family val="1"/>
      </rPr>
      <t>202.50</t>
    </r>
    <r>
      <rPr>
        <sz val="10"/>
        <color theme="1"/>
        <rFont val="Century Schoolbook"/>
        <family val="1"/>
      </rPr>
      <t xml:space="preserve"> per CAP 13</t>
    </r>
  </si>
  <si>
    <t>202.50 x 72,024 =</t>
  </si>
  <si>
    <t>202.5 x 57,024 =</t>
  </si>
  <si>
    <t>CAP 17: Capacity Analysis: Direct Labor Cost of Overtime (corrected page 2)</t>
  </si>
  <si>
    <t>Regular wages</t>
  </si>
  <si>
    <t>x $8 x 1.5 =</t>
  </si>
  <si>
    <t>Overtime wages</t>
  </si>
  <si>
    <t>28,512 x 1.2 = 34,312 output produced with overtime</t>
  </si>
  <si>
    <t>Labor cost/unit with overtime</t>
  </si>
  <si>
    <t>Average wage rate per hour</t>
  </si>
  <si>
    <r>
      <t xml:space="preserve">60,000 - 34,312 = 25, 688 </t>
    </r>
    <r>
      <rPr>
        <b/>
        <sz val="12"/>
        <color theme="1"/>
        <rFont val="Century Schoolbook"/>
        <family val="1"/>
      </rPr>
      <t>Production shortfall</t>
    </r>
  </si>
  <si>
    <t>corrected</t>
  </si>
  <si>
    <r>
      <t xml:space="preserve">this is </t>
    </r>
    <r>
      <rPr>
        <i/>
        <sz val="10"/>
        <color theme="0"/>
        <rFont val="Century Schoolbook"/>
        <family val="1"/>
      </rPr>
      <t>filled</t>
    </r>
    <r>
      <rPr>
        <sz val="10"/>
        <color theme="0"/>
        <rFont val="Century Schoolbook"/>
        <family val="1"/>
      </rPr>
      <t xml:space="preserve"> with typos!!</t>
    </r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</si>
</sst>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.00"/>
    <numFmt numFmtId="166" formatCode="#,##0.0"/>
    <numFmt numFmtId="167" formatCode="&quot;$&quot;#,##0"/>
    <numFmt numFmtId="168" formatCode="_(* #,##0_);_(* \(#,##0\);_(* &quot;-&quot;??_);_(@_)"/>
  </numFmts>
  <fonts count="4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entury Schoolbook"/>
      <family val="1"/>
    </font>
    <font>
      <i/>
      <sz val="11"/>
      <color theme="1"/>
      <name val="Century Schoolbook"/>
      <family val="1"/>
    </font>
    <font>
      <b/>
      <sz val="11"/>
      <color rgb="FF00B050"/>
      <name val="Century Schoolbook"/>
      <family val="1"/>
    </font>
    <font>
      <sz val="11"/>
      <color rgb="FF00B050"/>
      <name val="Century Schoolbook"/>
      <family val="1"/>
    </font>
    <font>
      <b/>
      <sz val="11"/>
      <color theme="1"/>
      <name val="Century Schoolbook"/>
      <family val="1"/>
    </font>
    <font>
      <sz val="10"/>
      <color theme="1"/>
      <name val="Century Schoolbook"/>
      <family val="1"/>
    </font>
    <font>
      <b/>
      <i/>
      <sz val="11"/>
      <color theme="1"/>
      <name val="Century Schoolbook"/>
      <family val="1"/>
    </font>
    <font>
      <sz val="11"/>
      <name val="Century Schoolbook"/>
      <family val="1"/>
    </font>
    <font>
      <b/>
      <sz val="10"/>
      <color rgb="FF00B050"/>
      <name val="Century Schoolbook"/>
      <family val="1"/>
    </font>
    <font>
      <b/>
      <sz val="12"/>
      <color rgb="FF00B050"/>
      <name val="Century Schoolbook"/>
      <family val="1"/>
    </font>
    <font>
      <b/>
      <sz val="14"/>
      <color rgb="FF00B050"/>
      <name val="Century Schoolbook"/>
      <family val="1"/>
    </font>
    <font>
      <sz val="14"/>
      <color theme="1"/>
      <name val="Calibri"/>
      <family val="2"/>
      <scheme val="minor"/>
    </font>
    <font>
      <sz val="11"/>
      <color rgb="FFC00000"/>
      <name val="Century Schoolbook"/>
      <family val="1"/>
    </font>
    <font>
      <i/>
      <sz val="11"/>
      <color rgb="FFC00000"/>
      <name val="Century Schoolbook"/>
      <family val="1"/>
    </font>
    <font>
      <sz val="12"/>
      <color theme="1"/>
      <name val="Century Schoolbook"/>
      <family val="1"/>
    </font>
    <font>
      <b/>
      <sz val="12"/>
      <color theme="1"/>
      <name val="Century Schoolbook"/>
      <family val="1"/>
    </font>
    <font>
      <sz val="14"/>
      <color theme="1"/>
      <name val="Century Schoolbook"/>
      <family val="1"/>
    </font>
    <font>
      <b/>
      <sz val="14"/>
      <color theme="1"/>
      <name val="Century Schoolbook"/>
      <family val="1"/>
    </font>
    <font>
      <sz val="11"/>
      <color theme="1"/>
      <name val="Calibri"/>
      <family val="2"/>
      <scheme val="minor"/>
    </font>
    <font>
      <sz val="8"/>
      <color theme="1"/>
      <name val="Century Schoolbook"/>
      <family val="1"/>
    </font>
    <font>
      <sz val="9"/>
      <color theme="1"/>
      <name val="Century Schoolbook"/>
      <family val="1"/>
    </font>
    <font>
      <sz val="10"/>
      <name val="Century Schoolbook"/>
      <family val="1"/>
    </font>
    <font>
      <sz val="10"/>
      <color rgb="FFC00000"/>
      <name val="Century Schoolbook"/>
      <family val="1"/>
    </font>
    <font>
      <b/>
      <sz val="12"/>
      <color rgb="FFC00000"/>
      <name val="Century Schoolbook"/>
      <family val="1"/>
    </font>
    <font>
      <sz val="12"/>
      <color rgb="FFC00000"/>
      <name val="Century Schoolbook"/>
      <family val="1"/>
    </font>
    <font>
      <i/>
      <sz val="12"/>
      <color rgb="FFC00000"/>
      <name val="Century Schoolbook"/>
      <family val="1"/>
    </font>
    <font>
      <i/>
      <u/>
      <sz val="12"/>
      <color rgb="FFC00000"/>
      <name val="Century Schoolbook"/>
      <family val="1"/>
    </font>
    <font>
      <b/>
      <sz val="10"/>
      <color theme="4" tint="-0.249977111117893"/>
      <name val="Century Schoolbook"/>
      <family val="1"/>
    </font>
    <font>
      <b/>
      <sz val="11"/>
      <color theme="4" tint="-0.249977111117893"/>
      <name val="Century Schoolbook"/>
      <family val="1"/>
    </font>
    <font>
      <b/>
      <i/>
      <sz val="12"/>
      <color theme="1"/>
      <name val="Century Schoolbook"/>
      <family val="1"/>
    </font>
    <font>
      <b/>
      <sz val="10"/>
      <color theme="1"/>
      <name val="Century Schoolbook"/>
      <family val="1"/>
    </font>
    <font>
      <b/>
      <sz val="10"/>
      <color rgb="FFC00000"/>
      <name val="Century Schoolbook"/>
      <family val="1"/>
    </font>
    <font>
      <b/>
      <u/>
      <sz val="10"/>
      <color rgb="FF00B050"/>
      <name val="Century Schoolbook"/>
      <family val="1"/>
    </font>
    <font>
      <sz val="14"/>
      <color rgb="FFC00000"/>
      <name val="Century Schoolbook"/>
      <family val="1"/>
    </font>
    <font>
      <sz val="9"/>
      <color rgb="FFC00000"/>
      <name val="Century Schoolbook"/>
      <family val="1"/>
    </font>
    <font>
      <sz val="14"/>
      <name val="Century Schoolbook"/>
      <family val="1"/>
    </font>
    <font>
      <i/>
      <sz val="16"/>
      <color theme="1"/>
      <name val="Century Schoolbook"/>
      <family val="1"/>
    </font>
    <font>
      <i/>
      <sz val="10"/>
      <color theme="1"/>
      <name val="Century Schoolbook"/>
      <family val="1"/>
    </font>
    <font>
      <sz val="7"/>
      <color theme="1"/>
      <name val="Century Schoolbook"/>
      <family val="1"/>
    </font>
    <font>
      <b/>
      <sz val="12"/>
      <color rgb="FFFF0000"/>
      <name val="Century Schoolbook"/>
      <family val="1"/>
    </font>
    <font>
      <b/>
      <sz val="10"/>
      <color rgb="FFFF0000"/>
      <name val="Century Schoolbook"/>
      <family val="1"/>
    </font>
    <font>
      <b/>
      <i/>
      <sz val="12"/>
      <color rgb="FFFF0000"/>
      <name val="Century Schoolbook"/>
      <family val="1"/>
    </font>
    <font>
      <i/>
      <sz val="10"/>
      <color rgb="FFC00000"/>
      <name val="Century Schoolbook"/>
      <family val="1"/>
    </font>
    <font>
      <u/>
      <sz val="12"/>
      <color theme="1"/>
      <name val="Century Schoolbook"/>
      <family val="1"/>
    </font>
    <font>
      <sz val="10"/>
      <color theme="0"/>
      <name val="Century Schoolbook"/>
      <family val="1"/>
    </font>
    <font>
      <i/>
      <sz val="10"/>
      <color theme="0"/>
      <name val="Century Schoolbook"/>
      <family val="1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451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4" fontId="4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4" fontId="4" fillId="0" borderId="1" xfId="0" applyNumberFormat="1" applyFont="1" applyBorder="1"/>
    <xf numFmtId="4" fontId="4" fillId="0" borderId="2" xfId="0" applyNumberFormat="1" applyFont="1" applyBorder="1"/>
    <xf numFmtId="4" fontId="4" fillId="0" borderId="0" xfId="0" applyNumberFormat="1" applyFont="1" applyBorder="1"/>
    <xf numFmtId="0" fontId="2" fillId="0" borderId="0" xfId="0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4" fontId="5" fillId="0" borderId="0" xfId="0" applyNumberFormat="1" applyFont="1" applyBorder="1"/>
    <xf numFmtId="0" fontId="0" fillId="0" borderId="0" xfId="0" applyBorder="1"/>
    <xf numFmtId="164" fontId="0" fillId="0" borderId="0" xfId="0" applyNumberFormat="1" applyBorder="1"/>
    <xf numFmtId="0" fontId="1" fillId="2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3" fontId="12" fillId="0" borderId="1" xfId="0" applyNumberFormat="1" applyFont="1" applyBorder="1"/>
    <xf numFmtId="4" fontId="12" fillId="0" borderId="1" xfId="0" applyNumberFormat="1" applyFont="1" applyBorder="1"/>
    <xf numFmtId="0" fontId="13" fillId="0" borderId="0" xfId="0" applyFont="1"/>
    <xf numFmtId="3" fontId="11" fillId="0" borderId="0" xfId="0" applyNumberFormat="1" applyFont="1" applyBorder="1" applyAlignment="1">
      <alignment horizontal="center"/>
    </xf>
    <xf numFmtId="0" fontId="11" fillId="0" borderId="2" xfId="0" applyFont="1" applyBorder="1"/>
    <xf numFmtId="0" fontId="11" fillId="0" borderId="0" xfId="0" applyFont="1" applyBorder="1"/>
    <xf numFmtId="0" fontId="14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10" fillId="0" borderId="0" xfId="0" applyFont="1" applyBorder="1"/>
    <xf numFmtId="0" fontId="11" fillId="0" borderId="1" xfId="0" applyFont="1" applyBorder="1"/>
    <xf numFmtId="0" fontId="16" fillId="0" borderId="0" xfId="0" applyFont="1"/>
    <xf numFmtId="0" fontId="7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2" fillId="0" borderId="12" xfId="0" applyFont="1" applyBorder="1"/>
    <xf numFmtId="0" fontId="2" fillId="0" borderId="13" xfId="0" applyFont="1" applyBorder="1"/>
    <xf numFmtId="4" fontId="16" fillId="0" borderId="0" xfId="0" applyNumberFormat="1" applyFont="1"/>
    <xf numFmtId="0" fontId="16" fillId="0" borderId="0" xfId="0" applyFont="1" applyAlignment="1">
      <alignment horizontal="center"/>
    </xf>
    <xf numFmtId="4" fontId="16" fillId="0" borderId="0" xfId="0" applyNumberFormat="1" applyFont="1" applyBorder="1"/>
    <xf numFmtId="4" fontId="16" fillId="0" borderId="14" xfId="0" applyNumberFormat="1" applyFont="1" applyBorder="1"/>
    <xf numFmtId="4" fontId="16" fillId="0" borderId="1" xfId="0" applyNumberFormat="1" applyFont="1" applyBorder="1"/>
    <xf numFmtId="4" fontId="16" fillId="0" borderId="8" xfId="0" applyNumberFormat="1" applyFont="1" applyBorder="1"/>
    <xf numFmtId="0" fontId="16" fillId="0" borderId="8" xfId="0" applyFont="1" applyBorder="1" applyAlignment="1">
      <alignment horizontal="center"/>
    </xf>
    <xf numFmtId="0" fontId="16" fillId="0" borderId="8" xfId="0" applyFont="1" applyBorder="1"/>
    <xf numFmtId="3" fontId="16" fillId="0" borderId="0" xfId="0" applyNumberFormat="1" applyFont="1"/>
    <xf numFmtId="3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3" fontId="11" fillId="0" borderId="0" xfId="0" applyNumberFormat="1" applyFont="1"/>
    <xf numFmtId="3" fontId="11" fillId="0" borderId="1" xfId="0" applyNumberFormat="1" applyFont="1" applyBorder="1"/>
    <xf numFmtId="3" fontId="11" fillId="0" borderId="0" xfId="0" applyNumberFormat="1" applyFont="1" applyBorder="1"/>
    <xf numFmtId="3" fontId="11" fillId="0" borderId="2" xfId="0" applyNumberFormat="1" applyFont="1" applyBorder="1"/>
    <xf numFmtId="3" fontId="4" fillId="0" borderId="0" xfId="0" applyNumberFormat="1" applyFont="1"/>
    <xf numFmtId="3" fontId="12" fillId="0" borderId="0" xfId="0" applyNumberFormat="1" applyFont="1" applyBorder="1"/>
    <xf numFmtId="3" fontId="12" fillId="0" borderId="2" xfId="0" applyNumberFormat="1" applyFont="1" applyBorder="1"/>
    <xf numFmtId="0" fontId="16" fillId="0" borderId="16" xfId="0" applyFont="1" applyBorder="1"/>
    <xf numFmtId="0" fontId="16" fillId="0" borderId="17" xfId="0" applyFont="1" applyBorder="1"/>
    <xf numFmtId="3" fontId="16" fillId="0" borderId="17" xfId="0" applyNumberFormat="1" applyFont="1" applyBorder="1"/>
    <xf numFmtId="0" fontId="16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0" fontId="16" fillId="0" borderId="0" xfId="0" applyFont="1" applyBorder="1"/>
    <xf numFmtId="3" fontId="16" fillId="0" borderId="0" xfId="0" applyNumberFormat="1" applyFont="1" applyBorder="1"/>
    <xf numFmtId="0" fontId="17" fillId="0" borderId="19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6" fillId="0" borderId="21" xfId="0" applyFont="1" applyBorder="1"/>
    <xf numFmtId="0" fontId="16" fillId="0" borderId="22" xfId="0" applyFont="1" applyBorder="1"/>
    <xf numFmtId="3" fontId="16" fillId="0" borderId="22" xfId="0" applyNumberFormat="1" applyFont="1" applyBorder="1"/>
    <xf numFmtId="0" fontId="16" fillId="0" borderId="23" xfId="0" applyFont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6" fillId="0" borderId="22" xfId="0" applyFont="1" applyBorder="1" applyAlignment="1">
      <alignment horizontal="right"/>
    </xf>
    <xf numFmtId="0" fontId="16" fillId="0" borderId="17" xfId="0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0" fontId="22" fillId="0" borderId="0" xfId="0" applyFont="1"/>
    <xf numFmtId="0" fontId="11" fillId="0" borderId="0" xfId="0" applyFont="1"/>
    <xf numFmtId="3" fontId="1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3" fontId="16" fillId="0" borderId="19" xfId="0" applyNumberFormat="1" applyFont="1" applyBorder="1"/>
    <xf numFmtId="3" fontId="16" fillId="0" borderId="0" xfId="0" applyNumberFormat="1" applyFont="1" applyBorder="1" applyAlignment="1">
      <alignment horizontal="right"/>
    </xf>
    <xf numFmtId="3" fontId="16" fillId="0" borderId="20" xfId="0" applyNumberFormat="1" applyFont="1" applyBorder="1"/>
    <xf numFmtId="3" fontId="16" fillId="0" borderId="19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3" fontId="16" fillId="0" borderId="2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right"/>
    </xf>
    <xf numFmtId="3" fontId="7" fillId="0" borderId="0" xfId="0" applyNumberFormat="1" applyFont="1" applyBorder="1"/>
    <xf numFmtId="0" fontId="11" fillId="0" borderId="0" xfId="0" applyFont="1" applyBorder="1" applyAlignment="1">
      <alignment horizontal="right"/>
    </xf>
    <xf numFmtId="0" fontId="7" fillId="0" borderId="22" xfId="0" applyFont="1" applyBorder="1"/>
    <xf numFmtId="3" fontId="7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166" fontId="11" fillId="0" borderId="2" xfId="0" applyNumberFormat="1" applyFont="1" applyBorder="1"/>
    <xf numFmtId="4" fontId="11" fillId="0" borderId="2" xfId="0" applyNumberFormat="1" applyFont="1" applyBorder="1"/>
    <xf numFmtId="166" fontId="11" fillId="0" borderId="1" xfId="0" applyNumberFormat="1" applyFont="1" applyBorder="1"/>
    <xf numFmtId="4" fontId="11" fillId="0" borderId="1" xfId="0" applyNumberFormat="1" applyFont="1" applyBorder="1"/>
    <xf numFmtId="166" fontId="11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17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166" fontId="11" fillId="0" borderId="0" xfId="0" applyNumberFormat="1" applyFont="1" applyBorder="1"/>
    <xf numFmtId="4" fontId="11" fillId="0" borderId="0" xfId="0" applyNumberFormat="1" applyFont="1" applyBorder="1"/>
    <xf numFmtId="0" fontId="7" fillId="0" borderId="19" xfId="0" applyFont="1" applyBorder="1"/>
    <xf numFmtId="4" fontId="25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2" fontId="16" fillId="0" borderId="0" xfId="0" applyNumberFormat="1" applyFont="1" applyAlignment="1">
      <alignment horizontal="right"/>
    </xf>
    <xf numFmtId="2" fontId="27" fillId="0" borderId="0" xfId="0" applyNumberFormat="1" applyFont="1" applyAlignment="1">
      <alignment horizontal="right"/>
    </xf>
    <xf numFmtId="2" fontId="2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3" fontId="24" fillId="0" borderId="0" xfId="0" applyNumberFormat="1" applyFont="1" applyAlignment="1">
      <alignment horizontal="left"/>
    </xf>
    <xf numFmtId="3" fontId="11" fillId="0" borderId="1" xfId="0" applyNumberFormat="1" applyFont="1" applyBorder="1" applyAlignment="1">
      <alignment horizontal="left"/>
    </xf>
    <xf numFmtId="0" fontId="24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3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3" fontId="30" fillId="0" borderId="24" xfId="0" applyNumberFormat="1" applyFont="1" applyBorder="1" applyAlignment="1">
      <alignment horizontal="right"/>
    </xf>
    <xf numFmtId="167" fontId="11" fillId="0" borderId="1" xfId="0" applyNumberFormat="1" applyFont="1" applyBorder="1" applyAlignment="1">
      <alignment horizontal="left"/>
    </xf>
    <xf numFmtId="0" fontId="32" fillId="0" borderId="0" xfId="0" applyFont="1" applyAlignment="1">
      <alignment horizontal="center"/>
    </xf>
    <xf numFmtId="0" fontId="24" fillId="0" borderId="0" xfId="0" applyFont="1"/>
    <xf numFmtId="0" fontId="32" fillId="0" borderId="0" xfId="0" applyFont="1"/>
    <xf numFmtId="3" fontId="11" fillId="0" borderId="24" xfId="0" applyNumberFormat="1" applyFont="1" applyBorder="1" applyAlignment="1">
      <alignment horizontal="right"/>
    </xf>
    <xf numFmtId="167" fontId="7" fillId="0" borderId="1" xfId="0" applyNumberFormat="1" applyFont="1" applyBorder="1"/>
    <xf numFmtId="0" fontId="26" fillId="0" borderId="0" xfId="0" applyFont="1"/>
    <xf numFmtId="167" fontId="26" fillId="0" borderId="0" xfId="0" applyNumberFormat="1" applyFont="1"/>
    <xf numFmtId="167" fontId="26" fillId="0" borderId="1" xfId="0" applyNumberFormat="1" applyFont="1" applyBorder="1"/>
    <xf numFmtId="3" fontId="25" fillId="0" borderId="0" xfId="0" applyNumberFormat="1" applyFont="1"/>
    <xf numFmtId="3" fontId="25" fillId="0" borderId="1" xfId="0" applyNumberFormat="1" applyFont="1" applyBorder="1"/>
    <xf numFmtId="0" fontId="4" fillId="0" borderId="0" xfId="0" applyFont="1"/>
    <xf numFmtId="3" fontId="25" fillId="0" borderId="2" xfId="0" applyNumberFormat="1" applyFont="1" applyBorder="1"/>
    <xf numFmtId="0" fontId="25" fillId="0" borderId="2" xfId="0" applyFont="1" applyBorder="1"/>
    <xf numFmtId="0" fontId="25" fillId="0" borderId="1" xfId="0" applyFont="1" applyBorder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" fontId="7" fillId="0" borderId="0" xfId="0" applyNumberFormat="1" applyFont="1"/>
    <xf numFmtId="0" fontId="12" fillId="0" borderId="0" xfId="0" applyFont="1"/>
    <xf numFmtId="49" fontId="24" fillId="0" borderId="0" xfId="0" applyNumberFormat="1" applyFont="1"/>
    <xf numFmtId="49" fontId="7" fillId="0" borderId="0" xfId="0" applyNumberFormat="1" applyFont="1"/>
    <xf numFmtId="4" fontId="14" fillId="0" borderId="0" xfId="0" applyNumberFormat="1" applyFont="1"/>
    <xf numFmtId="4" fontId="12" fillId="0" borderId="2" xfId="0" applyNumberFormat="1" applyFont="1" applyBorder="1"/>
    <xf numFmtId="4" fontId="37" fillId="0" borderId="2" xfId="0" applyNumberFormat="1" applyFont="1" applyBorder="1" applyAlignment="1">
      <alignment horizontal="right"/>
    </xf>
    <xf numFmtId="0" fontId="7" fillId="0" borderId="25" xfId="0" applyFont="1" applyBorder="1"/>
    <xf numFmtId="0" fontId="7" fillId="0" borderId="26" xfId="0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0" fontId="7" fillId="0" borderId="29" xfId="0" applyFont="1" applyBorder="1"/>
    <xf numFmtId="0" fontId="7" fillId="0" borderId="24" xfId="0" applyFont="1" applyBorder="1"/>
    <xf numFmtId="0" fontId="7" fillId="0" borderId="30" xfId="0" applyFont="1" applyBorder="1"/>
    <xf numFmtId="4" fontId="12" fillId="0" borderId="29" xfId="0" applyNumberFormat="1" applyFont="1" applyBorder="1"/>
    <xf numFmtId="4" fontId="12" fillId="0" borderId="28" xfId="0" applyNumberFormat="1" applyFont="1" applyBorder="1"/>
    <xf numFmtId="4" fontId="12" fillId="0" borderId="27" xfId="0" applyNumberFormat="1" applyFont="1" applyBorder="1"/>
    <xf numFmtId="4" fontId="12" fillId="3" borderId="24" xfId="0" applyNumberFormat="1" applyFont="1" applyFill="1" applyBorder="1"/>
    <xf numFmtId="3" fontId="12" fillId="0" borderId="29" xfId="0" applyNumberFormat="1" applyFont="1" applyBorder="1"/>
    <xf numFmtId="3" fontId="12" fillId="0" borderId="28" xfId="0" applyNumberFormat="1" applyFont="1" applyBorder="1"/>
    <xf numFmtId="3" fontId="12" fillId="0" borderId="27" xfId="0" applyNumberFormat="1" applyFont="1" applyBorder="1"/>
    <xf numFmtId="3" fontId="12" fillId="3" borderId="27" xfId="0" applyNumberFormat="1" applyFont="1" applyFill="1" applyBorder="1"/>
    <xf numFmtId="3" fontId="12" fillId="3" borderId="24" xfId="0" applyNumberFormat="1" applyFont="1" applyFill="1" applyBorder="1"/>
    <xf numFmtId="3" fontId="35" fillId="0" borderId="24" xfId="0" applyNumberFormat="1" applyFont="1" applyBorder="1"/>
    <xf numFmtId="165" fontId="12" fillId="0" borderId="0" xfId="0" applyNumberFormat="1" applyFont="1"/>
    <xf numFmtId="49" fontId="33" fillId="0" borderId="0" xfId="0" applyNumberFormat="1" applyFont="1"/>
    <xf numFmtId="49" fontId="36" fillId="0" borderId="0" xfId="0" applyNumberFormat="1" applyFont="1"/>
    <xf numFmtId="3" fontId="12" fillId="0" borderId="32" xfId="0" applyNumberFormat="1" applyFont="1" applyBorder="1"/>
    <xf numFmtId="0" fontId="7" fillId="0" borderId="0" xfId="0" applyFont="1" applyFill="1" applyBorder="1" applyAlignment="1">
      <alignment horizontal="center"/>
    </xf>
    <xf numFmtId="4" fontId="12" fillId="0" borderId="0" xfId="0" applyNumberFormat="1" applyFont="1" applyFill="1" applyBorder="1"/>
    <xf numFmtId="3" fontId="12" fillId="0" borderId="0" xfId="0" applyNumberFormat="1" applyFont="1" applyFill="1" applyBorder="1"/>
    <xf numFmtId="3" fontId="12" fillId="0" borderId="24" xfId="0" applyNumberFormat="1" applyFont="1" applyFill="1" applyBorder="1"/>
    <xf numFmtId="3" fontId="12" fillId="0" borderId="2" xfId="0" applyNumberFormat="1" applyFont="1" applyFill="1" applyBorder="1"/>
    <xf numFmtId="49" fontId="7" fillId="0" borderId="0" xfId="0" applyNumberFormat="1" applyFont="1" applyAlignment="1">
      <alignment horizontal="right"/>
    </xf>
    <xf numFmtId="49" fontId="7" fillId="0" borderId="1" xfId="0" applyNumberFormat="1" applyFont="1" applyBorder="1" applyAlignment="1">
      <alignment horizontal="right"/>
    </xf>
    <xf numFmtId="49" fontId="7" fillId="0" borderId="0" xfId="0" applyNumberFormat="1" applyFont="1" applyAlignment="1">
      <alignment vertical="top" wrapText="1"/>
    </xf>
    <xf numFmtId="49" fontId="16" fillId="0" borderId="0" xfId="0" applyNumberFormat="1" applyFont="1"/>
    <xf numFmtId="49" fontId="16" fillId="0" borderId="0" xfId="0" applyNumberFormat="1" applyFont="1" applyAlignment="1">
      <alignment horizontal="right"/>
    </xf>
    <xf numFmtId="49" fontId="16" fillId="0" borderId="1" xfId="0" applyNumberFormat="1" applyFont="1" applyBorder="1" applyAlignment="1">
      <alignment horizontal="right"/>
    </xf>
    <xf numFmtId="0" fontId="16" fillId="0" borderId="25" xfId="0" applyFont="1" applyBorder="1"/>
    <xf numFmtId="49" fontId="16" fillId="0" borderId="25" xfId="0" applyNumberFormat="1" applyFont="1" applyBorder="1"/>
    <xf numFmtId="49" fontId="16" fillId="0" borderId="25" xfId="0" applyNumberFormat="1" applyFont="1" applyBorder="1" applyAlignment="1">
      <alignment horizontal="right"/>
    </xf>
    <xf numFmtId="0" fontId="7" fillId="0" borderId="0" xfId="0" applyFont="1" applyFill="1"/>
    <xf numFmtId="3" fontId="12" fillId="0" borderId="29" xfId="0" applyNumberFormat="1" applyFont="1" applyFill="1" applyBorder="1"/>
    <xf numFmtId="3" fontId="12" fillId="0" borderId="32" xfId="0" applyNumberFormat="1" applyFont="1" applyFill="1" applyBorder="1"/>
    <xf numFmtId="4" fontId="12" fillId="0" borderId="29" xfId="0" applyNumberFormat="1" applyFont="1" applyFill="1" applyBorder="1"/>
    <xf numFmtId="0" fontId="7" fillId="0" borderId="1" xfId="0" applyFont="1" applyFill="1" applyBorder="1"/>
    <xf numFmtId="4" fontId="12" fillId="0" borderId="28" xfId="0" applyNumberFormat="1" applyFont="1" applyFill="1" applyBorder="1"/>
    <xf numFmtId="3" fontId="12" fillId="0" borderId="28" xfId="0" applyNumberFormat="1" applyFont="1" applyFill="1" applyBorder="1"/>
    <xf numFmtId="0" fontId="7" fillId="0" borderId="0" xfId="0" applyFont="1" applyFill="1" applyBorder="1"/>
    <xf numFmtId="4" fontId="12" fillId="0" borderId="27" xfId="0" applyNumberFormat="1" applyFont="1" applyFill="1" applyBorder="1"/>
    <xf numFmtId="3" fontId="12" fillId="0" borderId="27" xfId="0" applyNumberFormat="1" applyFont="1" applyFill="1" applyBorder="1"/>
    <xf numFmtId="3" fontId="12" fillId="0" borderId="0" xfId="0" applyNumberFormat="1" applyFont="1" applyFill="1"/>
    <xf numFmtId="4" fontId="12" fillId="0" borderId="24" xfId="0" applyNumberFormat="1" applyFont="1" applyFill="1" applyBorder="1"/>
    <xf numFmtId="0" fontId="7" fillId="0" borderId="0" xfId="0" applyFont="1" applyFill="1" applyBorder="1" applyAlignment="1">
      <alignment horizontal="left"/>
    </xf>
    <xf numFmtId="4" fontId="12" fillId="0" borderId="0" xfId="0" applyNumberFormat="1" applyFont="1" applyFill="1"/>
    <xf numFmtId="0" fontId="22" fillId="0" borderId="0" xfId="0" applyFont="1" applyFill="1"/>
    <xf numFmtId="49" fontId="24" fillId="0" borderId="0" xfId="0" applyNumberFormat="1" applyFont="1" applyFill="1"/>
    <xf numFmtId="49" fontId="33" fillId="0" borderId="0" xfId="0" applyNumberFormat="1" applyFont="1" applyFill="1"/>
    <xf numFmtId="49" fontId="36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3" fontId="4" fillId="0" borderId="0" xfId="0" applyNumberFormat="1" applyFont="1" applyFill="1"/>
    <xf numFmtId="165" fontId="12" fillId="0" borderId="0" xfId="0" applyNumberFormat="1" applyFont="1" applyFill="1"/>
    <xf numFmtId="4" fontId="7" fillId="0" borderId="29" xfId="0" applyNumberFormat="1" applyFont="1" applyFill="1" applyBorder="1"/>
    <xf numFmtId="3" fontId="12" fillId="4" borderId="24" xfId="0" applyNumberFormat="1" applyFont="1" applyFill="1" applyBorder="1"/>
    <xf numFmtId="4" fontId="12" fillId="4" borderId="24" xfId="0" applyNumberFormat="1" applyFont="1" applyFill="1" applyBorder="1"/>
    <xf numFmtId="3" fontId="12" fillId="0" borderId="14" xfId="0" applyNumberFormat="1" applyFont="1" applyFill="1" applyBorder="1"/>
    <xf numFmtId="0" fontId="7" fillId="4" borderId="24" xfId="0" applyFont="1" applyFill="1" applyBorder="1"/>
    <xf numFmtId="4" fontId="12" fillId="6" borderId="24" xfId="0" applyNumberFormat="1" applyFont="1" applyFill="1" applyBorder="1"/>
    <xf numFmtId="3" fontId="12" fillId="6" borderId="24" xfId="0" applyNumberFormat="1" applyFont="1" applyFill="1" applyBorder="1"/>
    <xf numFmtId="0" fontId="7" fillId="4" borderId="1" xfId="0" applyFont="1" applyFill="1" applyBorder="1"/>
    <xf numFmtId="0" fontId="7" fillId="4" borderId="31" xfId="0" applyFont="1" applyFill="1" applyBorder="1"/>
    <xf numFmtId="4" fontId="12" fillId="6" borderId="29" xfId="0" applyNumberFormat="1" applyFont="1" applyFill="1" applyBorder="1"/>
    <xf numFmtId="3" fontId="12" fillId="6" borderId="29" xfId="0" applyNumberFormat="1" applyFont="1" applyFill="1" applyBorder="1"/>
    <xf numFmtId="4" fontId="12" fillId="6" borderId="0" xfId="0" applyNumberFormat="1" applyFont="1" applyFill="1"/>
    <xf numFmtId="3" fontId="12" fillId="6" borderId="0" xfId="0" applyNumberFormat="1" applyFont="1" applyFill="1" applyBorder="1"/>
    <xf numFmtId="0" fontId="7" fillId="0" borderId="35" xfId="0" applyFont="1" applyFill="1" applyBorder="1"/>
    <xf numFmtId="0" fontId="7" fillId="0" borderId="36" xfId="0" applyFont="1" applyFill="1" applyBorder="1"/>
    <xf numFmtId="4" fontId="12" fillId="0" borderId="36" xfId="0" applyNumberFormat="1" applyFont="1" applyFill="1" applyBorder="1"/>
    <xf numFmtId="3" fontId="12" fillId="0" borderId="36" xfId="0" applyNumberFormat="1" applyFont="1" applyFill="1" applyBorder="1"/>
    <xf numFmtId="3" fontId="12" fillId="0" borderId="37" xfId="0" applyNumberFormat="1" applyFont="1" applyFill="1" applyBorder="1"/>
    <xf numFmtId="3" fontId="32" fillId="0" borderId="0" xfId="0" applyNumberFormat="1" applyFont="1" applyAlignment="1">
      <alignment horizontal="center"/>
    </xf>
    <xf numFmtId="165" fontId="7" fillId="0" borderId="0" xfId="0" applyNumberFormat="1" applyFont="1"/>
    <xf numFmtId="3" fontId="7" fillId="0" borderId="1" xfId="0" applyNumberFormat="1" applyFont="1" applyBorder="1"/>
    <xf numFmtId="3" fontId="7" fillId="0" borderId="2" xfId="0" applyNumberFormat="1" applyFont="1" applyBorder="1"/>
    <xf numFmtId="167" fontId="7" fillId="0" borderId="2" xfId="0" applyNumberFormat="1" applyFont="1" applyBorder="1"/>
    <xf numFmtId="3" fontId="7" fillId="0" borderId="39" xfId="0" applyNumberFormat="1" applyFont="1" applyBorder="1"/>
    <xf numFmtId="165" fontId="7" fillId="0" borderId="39" xfId="0" applyNumberFormat="1" applyFont="1" applyBorder="1"/>
    <xf numFmtId="49" fontId="16" fillId="0" borderId="0" xfId="0" applyNumberFormat="1" applyFont="1" applyAlignment="1">
      <alignment horizontal="left" vertical="center" wrapText="1"/>
    </xf>
    <xf numFmtId="167" fontId="7" fillId="0" borderId="0" xfId="0" applyNumberFormat="1" applyFont="1" applyBorder="1"/>
    <xf numFmtId="167" fontId="7" fillId="0" borderId="14" xfId="0" applyNumberFormat="1" applyFont="1" applyBorder="1"/>
    <xf numFmtId="49" fontId="7" fillId="0" borderId="1" xfId="0" applyNumberFormat="1" applyFont="1" applyBorder="1"/>
    <xf numFmtId="0" fontId="7" fillId="0" borderId="39" xfId="0" applyFont="1" applyBorder="1"/>
    <xf numFmtId="0" fontId="38" fillId="0" borderId="0" xfId="0" applyFont="1"/>
    <xf numFmtId="3" fontId="7" fillId="0" borderId="14" xfId="0" applyNumberFormat="1" applyFont="1" applyBorder="1"/>
    <xf numFmtId="0" fontId="7" fillId="7" borderId="0" xfId="0" applyFont="1" applyFill="1"/>
    <xf numFmtId="3" fontId="7" fillId="0" borderId="22" xfId="0" applyNumberFormat="1" applyFont="1" applyBorder="1"/>
    <xf numFmtId="0" fontId="7" fillId="7" borderId="22" xfId="0" applyFont="1" applyFill="1" applyBorder="1"/>
    <xf numFmtId="3" fontId="7" fillId="0" borderId="25" xfId="0" applyNumberFormat="1" applyFont="1" applyBorder="1"/>
    <xf numFmtId="49" fontId="7" fillId="0" borderId="30" xfId="0" applyNumberFormat="1" applyFont="1" applyBorder="1"/>
    <xf numFmtId="49" fontId="7" fillId="0" borderId="0" xfId="0" applyNumberFormat="1" applyFont="1" applyBorder="1"/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49" fontId="39" fillId="0" borderId="0" xfId="0" applyNumberFormat="1" applyFont="1" applyBorder="1"/>
    <xf numFmtId="49" fontId="39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/>
    <xf numFmtId="3" fontId="7" fillId="0" borderId="0" xfId="0" applyNumberFormat="1" applyFont="1" applyAlignment="1">
      <alignment horizontal="right"/>
    </xf>
    <xf numFmtId="3" fontId="7" fillId="0" borderId="1" xfId="0" applyNumberFormat="1" applyFont="1" applyBorder="1" applyAlignment="1">
      <alignment horizontal="right"/>
    </xf>
    <xf numFmtId="2" fontId="7" fillId="0" borderId="0" xfId="0" applyNumberFormat="1" applyFont="1"/>
    <xf numFmtId="44" fontId="7" fillId="0" borderId="0" xfId="2" applyFont="1"/>
    <xf numFmtId="44" fontId="7" fillId="0" borderId="1" xfId="2" applyFont="1" applyBorder="1"/>
    <xf numFmtId="3" fontId="7" fillId="0" borderId="0" xfId="0" applyNumberFormat="1" applyFont="1" applyBorder="1" applyAlignment="1">
      <alignment horizontal="right"/>
    </xf>
    <xf numFmtId="44" fontId="7" fillId="0" borderId="0" xfId="0" applyNumberFormat="1" applyFont="1"/>
    <xf numFmtId="44" fontId="7" fillId="0" borderId="15" xfId="2" applyFont="1" applyBorder="1"/>
    <xf numFmtId="49" fontId="39" fillId="0" borderId="0" xfId="0" applyNumberFormat="1" applyFont="1"/>
    <xf numFmtId="4" fontId="7" fillId="0" borderId="1" xfId="0" applyNumberFormat="1" applyFont="1" applyBorder="1"/>
    <xf numFmtId="2" fontId="7" fillId="0" borderId="1" xfId="0" applyNumberFormat="1" applyFont="1" applyBorder="1"/>
    <xf numFmtId="2" fontId="7" fillId="0" borderId="0" xfId="0" applyNumberFormat="1" applyFont="1" applyAlignment="1">
      <alignment horizontal="right"/>
    </xf>
    <xf numFmtId="3" fontId="7" fillId="0" borderId="1" xfId="0" applyNumberFormat="1" applyFont="1" applyBorder="1" applyAlignment="1">
      <alignment horizontal="center"/>
    </xf>
    <xf numFmtId="37" fontId="7" fillId="0" borderId="0" xfId="1" applyNumberFormat="1" applyFont="1" applyAlignment="1">
      <alignment horizontal="right"/>
    </xf>
    <xf numFmtId="37" fontId="7" fillId="0" borderId="1" xfId="1" applyNumberFormat="1" applyFont="1" applyBorder="1" applyAlignment="1">
      <alignment horizontal="right"/>
    </xf>
    <xf numFmtId="37" fontId="7" fillId="0" borderId="1" xfId="1" applyNumberFormat="1" applyFont="1" applyBorder="1"/>
    <xf numFmtId="37" fontId="7" fillId="0" borderId="0" xfId="1" applyNumberFormat="1" applyFont="1"/>
    <xf numFmtId="0" fontId="7" fillId="0" borderId="34" xfId="0" applyFont="1" applyBorder="1"/>
    <xf numFmtId="44" fontId="7" fillId="0" borderId="34" xfId="0" applyNumberFormat="1" applyFont="1" applyBorder="1"/>
    <xf numFmtId="44" fontId="7" fillId="0" borderId="33" xfId="0" applyNumberFormat="1" applyFont="1" applyBorder="1"/>
    <xf numFmtId="3" fontId="7" fillId="0" borderId="4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vertical="center"/>
    </xf>
    <xf numFmtId="44" fontId="7" fillId="0" borderId="22" xfId="0" applyNumberFormat="1" applyFont="1" applyBorder="1"/>
    <xf numFmtId="44" fontId="7" fillId="0" borderId="0" xfId="0" applyNumberFormat="1" applyFont="1" applyBorder="1"/>
    <xf numFmtId="43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7" fillId="5" borderId="0" xfId="0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44" fontId="2" fillId="5" borderId="0" xfId="2" applyFont="1" applyFill="1"/>
    <xf numFmtId="44" fontId="2" fillId="5" borderId="0" xfId="0" applyNumberFormat="1" applyFont="1" applyFill="1"/>
    <xf numFmtId="9" fontId="2" fillId="5" borderId="0" xfId="3" applyFont="1" applyFill="1"/>
    <xf numFmtId="168" fontId="2" fillId="5" borderId="0" xfId="1" applyNumberFormat="1" applyFont="1" applyFill="1"/>
    <xf numFmtId="43" fontId="2" fillId="5" borderId="0" xfId="0" applyNumberFormat="1" applyFont="1" applyFill="1"/>
    <xf numFmtId="1" fontId="2" fillId="5" borderId="0" xfId="0" applyNumberFormat="1" applyFont="1" applyFill="1"/>
    <xf numFmtId="168" fontId="2" fillId="5" borderId="0" xfId="0" applyNumberFormat="1" applyFont="1" applyFill="1"/>
    <xf numFmtId="44" fontId="2" fillId="0" borderId="0" xfId="2" applyFont="1"/>
    <xf numFmtId="44" fontId="2" fillId="0" borderId="0" xfId="0" applyNumberFormat="1" applyFont="1"/>
    <xf numFmtId="9" fontId="2" fillId="0" borderId="0" xfId="3" applyFont="1"/>
    <xf numFmtId="168" fontId="2" fillId="0" borderId="0" xfId="1" applyNumberFormat="1" applyFont="1"/>
    <xf numFmtId="43" fontId="2" fillId="0" borderId="0" xfId="0" applyNumberFormat="1" applyFont="1"/>
    <xf numFmtId="1" fontId="2" fillId="0" borderId="0" xfId="0" applyNumberFormat="1" applyFont="1"/>
    <xf numFmtId="168" fontId="2" fillId="0" borderId="0" xfId="0" applyNumberFormat="1" applyFont="1"/>
    <xf numFmtId="168" fontId="7" fillId="7" borderId="0" xfId="0" applyNumberFormat="1" applyFont="1" applyFill="1"/>
    <xf numFmtId="44" fontId="7" fillId="7" borderId="0" xfId="0" applyNumberFormat="1" applyFont="1" applyFill="1"/>
    <xf numFmtId="43" fontId="7" fillId="7" borderId="0" xfId="0" applyNumberFormat="1" applyFont="1" applyFill="1"/>
    <xf numFmtId="0" fontId="2" fillId="0" borderId="0" xfId="0" applyFont="1" applyFill="1" applyAlignment="1">
      <alignment horizontal="center"/>
    </xf>
    <xf numFmtId="44" fontId="2" fillId="0" borderId="0" xfId="2" applyFont="1" applyFill="1"/>
    <xf numFmtId="44" fontId="2" fillId="0" borderId="0" xfId="0" applyNumberFormat="1" applyFont="1" applyFill="1"/>
    <xf numFmtId="9" fontId="2" fillId="0" borderId="0" xfId="3" applyFont="1" applyFill="1"/>
    <xf numFmtId="168" fontId="2" fillId="0" borderId="0" xfId="1" applyNumberFormat="1" applyFont="1" applyFill="1"/>
    <xf numFmtId="43" fontId="2" fillId="0" borderId="0" xfId="0" applyNumberFormat="1" applyFont="1" applyFill="1"/>
    <xf numFmtId="168" fontId="2" fillId="0" borderId="0" xfId="0" applyNumberFormat="1" applyFont="1" applyFill="1"/>
    <xf numFmtId="0" fontId="7" fillId="2" borderId="0" xfId="0" applyFont="1" applyFill="1"/>
    <xf numFmtId="49" fontId="16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41" fillId="0" borderId="0" xfId="0" applyFont="1"/>
    <xf numFmtId="0" fontId="42" fillId="0" borderId="0" xfId="0" applyFont="1" applyAlignment="1">
      <alignment horizontal="center"/>
    </xf>
    <xf numFmtId="0" fontId="7" fillId="8" borderId="0" xfId="0" applyFont="1" applyFill="1" applyAlignment="1">
      <alignment horizontal="left"/>
    </xf>
    <xf numFmtId="3" fontId="42" fillId="0" borderId="0" xfId="0" applyNumberFormat="1" applyFont="1"/>
    <xf numFmtId="3" fontId="11" fillId="8" borderId="2" xfId="0" applyNumberFormat="1" applyFont="1" applyFill="1" applyBorder="1"/>
    <xf numFmtId="0" fontId="33" fillId="0" borderId="0" xfId="0" applyFont="1"/>
    <xf numFmtId="0" fontId="33" fillId="0" borderId="0" xfId="0" applyFont="1" applyAlignment="1">
      <alignment horizontal="left"/>
    </xf>
    <xf numFmtId="3" fontId="24" fillId="0" borderId="0" xfId="0" applyNumberFormat="1" applyFont="1" applyBorder="1"/>
    <xf numFmtId="3" fontId="25" fillId="0" borderId="2" xfId="0" applyNumberFormat="1" applyFont="1" applyBorder="1" applyAlignment="1">
      <alignment horizontal="right"/>
    </xf>
    <xf numFmtId="3" fontId="11" fillId="8" borderId="1" xfId="0" applyNumberFormat="1" applyFont="1" applyFill="1" applyBorder="1"/>
    <xf numFmtId="3" fontId="11" fillId="8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/>
    <xf numFmtId="0" fontId="16" fillId="0" borderId="0" xfId="0" applyFont="1" applyAlignment="1">
      <alignment horizontal="left" vertical="top" wrapText="1"/>
    </xf>
    <xf numFmtId="0" fontId="18" fillId="0" borderId="0" xfId="0" applyFont="1"/>
    <xf numFmtId="3" fontId="45" fillId="0" borderId="0" xfId="0" applyNumberFormat="1" applyFont="1"/>
    <xf numFmtId="3" fontId="16" fillId="0" borderId="1" xfId="0" applyNumberFormat="1" applyFont="1" applyBorder="1"/>
    <xf numFmtId="165" fontId="17" fillId="0" borderId="0" xfId="0" applyNumberFormat="1" applyFont="1"/>
    <xf numFmtId="3" fontId="16" fillId="0" borderId="1" xfId="0" applyNumberFormat="1" applyFont="1" applyBorder="1" applyAlignment="1">
      <alignment horizontal="center"/>
    </xf>
    <xf numFmtId="0" fontId="7" fillId="9" borderId="0" xfId="0" applyFont="1" applyFill="1"/>
    <xf numFmtId="3" fontId="7" fillId="9" borderId="1" xfId="0" applyNumberFormat="1" applyFont="1" applyFill="1" applyBorder="1" applyAlignment="1">
      <alignment horizontal="center"/>
    </xf>
    <xf numFmtId="3" fontId="7" fillId="9" borderId="0" xfId="0" applyNumberFormat="1" applyFont="1" applyFill="1" applyAlignment="1">
      <alignment horizontal="center"/>
    </xf>
    <xf numFmtId="3" fontId="7" fillId="9" borderId="0" xfId="0" applyNumberFormat="1" applyFont="1" applyFill="1"/>
    <xf numFmtId="0" fontId="7" fillId="9" borderId="34" xfId="0" applyFont="1" applyFill="1" applyBorder="1"/>
    <xf numFmtId="44" fontId="7" fillId="9" borderId="34" xfId="0" applyNumberFormat="1" applyFont="1" applyFill="1" applyBorder="1"/>
    <xf numFmtId="49" fontId="7" fillId="9" borderId="0" xfId="0" applyNumberFormat="1" applyFont="1" applyFill="1" applyAlignment="1">
      <alignment vertical="center"/>
    </xf>
    <xf numFmtId="44" fontId="7" fillId="9" borderId="33" xfId="0" applyNumberFormat="1" applyFont="1" applyFill="1" applyBorder="1"/>
    <xf numFmtId="44" fontId="7" fillId="9" borderId="0" xfId="0" applyNumberFormat="1" applyFont="1" applyFill="1"/>
    <xf numFmtId="0" fontId="7" fillId="9" borderId="0" xfId="0" applyFont="1" applyFill="1" applyAlignment="1">
      <alignment horizontal="center"/>
    </xf>
    <xf numFmtId="0" fontId="7" fillId="9" borderId="0" xfId="0" applyFont="1" applyFill="1" applyBorder="1"/>
    <xf numFmtId="49" fontId="7" fillId="9" borderId="0" xfId="0" applyNumberFormat="1" applyFont="1" applyFill="1" applyBorder="1" applyAlignment="1">
      <alignment vertical="center"/>
    </xf>
    <xf numFmtId="0" fontId="7" fillId="9" borderId="22" xfId="0" applyFont="1" applyFill="1" applyBorder="1"/>
    <xf numFmtId="44" fontId="7" fillId="9" borderId="22" xfId="0" applyNumberFormat="1" applyFont="1" applyFill="1" applyBorder="1"/>
    <xf numFmtId="0" fontId="46" fillId="9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11" fillId="0" borderId="3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left"/>
    </xf>
    <xf numFmtId="0" fontId="41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6" fillId="0" borderId="2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7" fillId="0" borderId="0" xfId="0" applyFont="1" applyAlignment="1">
      <alignment horizontal="left" vertical="top" wrapText="1"/>
    </xf>
    <xf numFmtId="0" fontId="7" fillId="0" borderId="24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top" wrapText="1"/>
    </xf>
    <xf numFmtId="0" fontId="7" fillId="6" borderId="38" xfId="0" applyFont="1" applyFill="1" applyBorder="1" applyAlignment="1">
      <alignment horizontal="left"/>
    </xf>
    <xf numFmtId="49" fontId="16" fillId="0" borderId="41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42" xfId="0" applyNumberFormat="1" applyFont="1" applyBorder="1" applyAlignment="1">
      <alignment horizontal="left" vertical="center" wrapText="1"/>
    </xf>
    <xf numFmtId="49" fontId="16" fillId="0" borderId="34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33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6" fillId="0" borderId="31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3" fontId="7" fillId="0" borderId="17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/>
    </xf>
    <xf numFmtId="37" fontId="7" fillId="0" borderId="0" xfId="1" applyNumberFormat="1" applyFont="1" applyAlignment="1">
      <alignment horizontal="right" vertical="center"/>
    </xf>
    <xf numFmtId="37" fontId="7" fillId="0" borderId="0" xfId="1" applyNumberFormat="1" applyFont="1" applyBorder="1" applyAlignment="1">
      <alignment horizontal="right" vertical="center"/>
    </xf>
    <xf numFmtId="37" fontId="7" fillId="0" borderId="1" xfId="1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49" fontId="7" fillId="9" borderId="0" xfId="0" applyNumberFormat="1" applyFont="1" applyFill="1" applyAlignment="1">
      <alignment horizontal="center" vertical="center"/>
    </xf>
    <xf numFmtId="0" fontId="7" fillId="9" borderId="0" xfId="0" applyFont="1" applyFill="1" applyBorder="1" applyAlignment="1">
      <alignment horizontal="right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9" borderId="0" xfId="0" applyFont="1" applyFill="1" applyAlignment="1">
      <alignment horizontal="right"/>
    </xf>
    <xf numFmtId="49" fontId="7" fillId="9" borderId="0" xfId="0" applyNumberFormat="1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16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4" Type="http://schemas.openxmlformats.org/officeDocument/2006/relationships/image" Target="../media/image1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4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16</xdr:row>
      <xdr:rowOff>123826</xdr:rowOff>
    </xdr:from>
    <xdr:to>
      <xdr:col>4</xdr:col>
      <xdr:colOff>76200</xdr:colOff>
      <xdr:row>17</xdr:row>
      <xdr:rowOff>38100</xdr:rowOff>
    </xdr:to>
    <xdr:sp macro="" textlink="">
      <xdr:nvSpPr>
        <xdr:cNvPr id="2" name="Flowchart: Connector 1"/>
        <xdr:cNvSpPr/>
      </xdr:nvSpPr>
      <xdr:spPr>
        <a:xfrm>
          <a:off x="2019300" y="3933826"/>
          <a:ext cx="133350" cy="104774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56671</xdr:colOff>
      <xdr:row>5</xdr:row>
      <xdr:rowOff>638175</xdr:rowOff>
    </xdr:from>
    <xdr:to>
      <xdr:col>7</xdr:col>
      <xdr:colOff>276227</xdr:colOff>
      <xdr:row>16</xdr:row>
      <xdr:rowOff>139170</xdr:rowOff>
    </xdr:to>
    <xdr:cxnSp macro="">
      <xdr:nvCxnSpPr>
        <xdr:cNvPr id="4" name="Straight Connector 3"/>
        <xdr:cNvCxnSpPr>
          <a:stCxn id="2" idx="7"/>
        </xdr:cNvCxnSpPr>
      </xdr:nvCxnSpPr>
      <xdr:spPr>
        <a:xfrm rot="5400000" flipH="1" flipV="1">
          <a:off x="1963764" y="1731457"/>
          <a:ext cx="2387070" cy="204835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56672</xdr:colOff>
      <xdr:row>5</xdr:row>
      <xdr:rowOff>638182</xdr:rowOff>
    </xdr:from>
    <xdr:to>
      <xdr:col>8</xdr:col>
      <xdr:colOff>476250</xdr:colOff>
      <xdr:row>16</xdr:row>
      <xdr:rowOff>139170</xdr:rowOff>
    </xdr:to>
    <xdr:cxnSp macro="">
      <xdr:nvCxnSpPr>
        <xdr:cNvPr id="5" name="Straight Connector 4"/>
        <xdr:cNvCxnSpPr>
          <a:stCxn id="2" idx="7"/>
        </xdr:cNvCxnSpPr>
      </xdr:nvCxnSpPr>
      <xdr:spPr>
        <a:xfrm rot="5400000" flipH="1" flipV="1">
          <a:off x="2368579" y="1326650"/>
          <a:ext cx="2387063" cy="285797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600746</xdr:colOff>
      <xdr:row>6</xdr:row>
      <xdr:rowOff>72712</xdr:rowOff>
    </xdr:from>
    <xdr:to>
      <xdr:col>2</xdr:col>
      <xdr:colOff>1334171</xdr:colOff>
      <xdr:row>10</xdr:row>
      <xdr:rowOff>56345</xdr:rowOff>
    </xdr:to>
    <xdr:sp macro="" textlink="">
      <xdr:nvSpPr>
        <xdr:cNvPr id="2" name="Oval 1"/>
        <xdr:cNvSpPr/>
      </xdr:nvSpPr>
      <xdr:spPr>
        <a:xfrm>
          <a:off x="1808140" y="1280106"/>
          <a:ext cx="733425" cy="775147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703374</xdr:colOff>
      <xdr:row>7</xdr:row>
      <xdr:rowOff>2684</xdr:rowOff>
    </xdr:from>
    <xdr:to>
      <xdr:col>2</xdr:col>
      <xdr:colOff>1217724</xdr:colOff>
      <xdr:row>9</xdr:row>
      <xdr:rowOff>70566</xdr:rowOff>
    </xdr:to>
    <xdr:sp macro="" textlink="">
      <xdr:nvSpPr>
        <xdr:cNvPr id="3" name="TextBox 2"/>
        <xdr:cNvSpPr txBox="1"/>
      </xdr:nvSpPr>
      <xdr:spPr>
        <a:xfrm>
          <a:off x="1910768" y="1411311"/>
          <a:ext cx="514350" cy="470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2000">
              <a:latin typeface="Century Schoolbook" pitchFamily="18" charset="0"/>
            </a:rPr>
            <a:t>#4</a:t>
          </a:r>
        </a:p>
      </xdr:txBody>
    </xdr:sp>
    <xdr:clientData/>
  </xdr:twoCellAnchor>
  <xdr:twoCellAnchor>
    <xdr:from>
      <xdr:col>11</xdr:col>
      <xdr:colOff>509790</xdr:colOff>
      <xdr:row>3</xdr:row>
      <xdr:rowOff>147569</xdr:rowOff>
    </xdr:from>
    <xdr:to>
      <xdr:col>13</xdr:col>
      <xdr:colOff>35820</xdr:colOff>
      <xdr:row>7</xdr:row>
      <xdr:rowOff>104371</xdr:rowOff>
    </xdr:to>
    <xdr:sp macro="" textlink="">
      <xdr:nvSpPr>
        <xdr:cNvPr id="4" name="Oval 3"/>
        <xdr:cNvSpPr/>
      </xdr:nvSpPr>
      <xdr:spPr>
        <a:xfrm>
          <a:off x="9498170" y="751266"/>
          <a:ext cx="733425" cy="775147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13414</xdr:colOff>
      <xdr:row>4</xdr:row>
      <xdr:rowOff>93910</xdr:rowOff>
    </xdr:from>
    <xdr:to>
      <xdr:col>12</xdr:col>
      <xdr:colOff>527764</xdr:colOff>
      <xdr:row>6</xdr:row>
      <xdr:rowOff>148376</xdr:rowOff>
    </xdr:to>
    <xdr:sp macro="" textlink="">
      <xdr:nvSpPr>
        <xdr:cNvPr id="5" name="TextBox 4"/>
        <xdr:cNvSpPr txBox="1"/>
      </xdr:nvSpPr>
      <xdr:spPr>
        <a:xfrm>
          <a:off x="9605491" y="912255"/>
          <a:ext cx="514350" cy="4569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2000">
              <a:latin typeface="Century Schoolbook" pitchFamily="18" charset="0"/>
            </a:rPr>
            <a:t>#5</a:t>
          </a:r>
        </a:p>
      </xdr:txBody>
    </xdr:sp>
    <xdr:clientData/>
  </xdr:twoCellAnchor>
  <xdr:twoCellAnchor>
    <xdr:from>
      <xdr:col>11</xdr:col>
      <xdr:colOff>201232</xdr:colOff>
      <xdr:row>26</xdr:row>
      <xdr:rowOff>174401</xdr:rowOff>
    </xdr:from>
    <xdr:to>
      <xdr:col>12</xdr:col>
      <xdr:colOff>321972</xdr:colOff>
      <xdr:row>30</xdr:row>
      <xdr:rowOff>80493</xdr:rowOff>
    </xdr:to>
    <xdr:sp macro="" textlink="">
      <xdr:nvSpPr>
        <xdr:cNvPr id="6" name="Oval 5"/>
        <xdr:cNvSpPr/>
      </xdr:nvSpPr>
      <xdr:spPr>
        <a:xfrm>
          <a:off x="9189612" y="6010140"/>
          <a:ext cx="724437" cy="711022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308556</xdr:colOff>
      <xdr:row>27</xdr:row>
      <xdr:rowOff>93910</xdr:rowOff>
    </xdr:from>
    <xdr:to>
      <xdr:col>12</xdr:col>
      <xdr:colOff>219209</xdr:colOff>
      <xdr:row>29</xdr:row>
      <xdr:rowOff>148376</xdr:rowOff>
    </xdr:to>
    <xdr:sp macro="" textlink="">
      <xdr:nvSpPr>
        <xdr:cNvPr id="7" name="TextBox 6"/>
        <xdr:cNvSpPr txBox="1"/>
      </xdr:nvSpPr>
      <xdr:spPr>
        <a:xfrm>
          <a:off x="9296936" y="6130882"/>
          <a:ext cx="514350" cy="4569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2000">
              <a:latin typeface="Century Schoolbook" pitchFamily="18" charset="0"/>
            </a:rPr>
            <a:t>#6</a:t>
          </a:r>
        </a:p>
      </xdr:txBody>
    </xdr:sp>
    <xdr:clientData/>
  </xdr:twoCellAnchor>
  <xdr:twoCellAnchor>
    <xdr:from>
      <xdr:col>22</xdr:col>
      <xdr:colOff>281727</xdr:colOff>
      <xdr:row>3</xdr:row>
      <xdr:rowOff>201230</xdr:rowOff>
    </xdr:from>
    <xdr:to>
      <xdr:col>23</xdr:col>
      <xdr:colOff>457200</xdr:colOff>
      <xdr:row>7</xdr:row>
      <xdr:rowOff>0</xdr:rowOff>
    </xdr:to>
    <xdr:sp macro="" textlink="">
      <xdr:nvSpPr>
        <xdr:cNvPr id="10" name="Oval 9"/>
        <xdr:cNvSpPr/>
      </xdr:nvSpPr>
      <xdr:spPr>
        <a:xfrm>
          <a:off x="16293252" y="810830"/>
          <a:ext cx="575523" cy="60839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366106</xdr:colOff>
      <xdr:row>4</xdr:row>
      <xdr:rowOff>113363</xdr:rowOff>
    </xdr:from>
    <xdr:to>
      <xdr:col>23</xdr:col>
      <xdr:colOff>419100</xdr:colOff>
      <xdr:row>6</xdr:row>
      <xdr:rowOff>166621</xdr:rowOff>
    </xdr:to>
    <xdr:sp macro="" textlink="">
      <xdr:nvSpPr>
        <xdr:cNvPr id="11" name="TextBox 10"/>
        <xdr:cNvSpPr txBox="1"/>
      </xdr:nvSpPr>
      <xdr:spPr>
        <a:xfrm>
          <a:off x="16377631" y="932513"/>
          <a:ext cx="453044" cy="453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>
              <a:latin typeface="Century Schoolbook" pitchFamily="18" charset="0"/>
            </a:rPr>
            <a:t>#7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23</xdr:col>
      <xdr:colOff>175473</xdr:colOff>
      <xdr:row>36</xdr:row>
      <xdr:rowOff>132145</xdr:rowOff>
    </xdr:to>
    <xdr:sp macro="" textlink="">
      <xdr:nvSpPr>
        <xdr:cNvPr id="12" name="Oval 11"/>
        <xdr:cNvSpPr/>
      </xdr:nvSpPr>
      <xdr:spPr>
        <a:xfrm>
          <a:off x="15821025" y="7505700"/>
          <a:ext cx="575523" cy="60839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66675</xdr:colOff>
      <xdr:row>34</xdr:row>
      <xdr:rowOff>114300</xdr:rowOff>
    </xdr:from>
    <xdr:to>
      <xdr:col>23</xdr:col>
      <xdr:colOff>119669</xdr:colOff>
      <xdr:row>36</xdr:row>
      <xdr:rowOff>91358</xdr:rowOff>
    </xdr:to>
    <xdr:sp macro="" textlink="">
      <xdr:nvSpPr>
        <xdr:cNvPr id="13" name="TextBox 12"/>
        <xdr:cNvSpPr txBox="1"/>
      </xdr:nvSpPr>
      <xdr:spPr>
        <a:xfrm>
          <a:off x="15887700" y="7620000"/>
          <a:ext cx="453044" cy="453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>
              <a:latin typeface="Century Schoolbook" pitchFamily="18" charset="0"/>
            </a:rPr>
            <a:t>#8</a:t>
          </a:r>
        </a:p>
      </xdr:txBody>
    </xdr:sp>
    <xdr:clientData/>
  </xdr:twoCellAnchor>
  <xdr:twoCellAnchor>
    <xdr:from>
      <xdr:col>46</xdr:col>
      <xdr:colOff>326571</xdr:colOff>
      <xdr:row>2</xdr:row>
      <xdr:rowOff>27214</xdr:rowOff>
    </xdr:from>
    <xdr:to>
      <xdr:col>48</xdr:col>
      <xdr:colOff>54428</xdr:colOff>
      <xdr:row>5</xdr:row>
      <xdr:rowOff>95249</xdr:rowOff>
    </xdr:to>
    <xdr:sp macro="" textlink="">
      <xdr:nvSpPr>
        <xdr:cNvPr id="14" name="Oval 13"/>
        <xdr:cNvSpPr/>
      </xdr:nvSpPr>
      <xdr:spPr>
        <a:xfrm>
          <a:off x="29459464" y="435428"/>
          <a:ext cx="639535" cy="680357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435429</xdr:colOff>
      <xdr:row>2</xdr:row>
      <xdr:rowOff>190500</xdr:rowOff>
    </xdr:from>
    <xdr:to>
      <xdr:col>48</xdr:col>
      <xdr:colOff>0</xdr:colOff>
      <xdr:row>4</xdr:row>
      <xdr:rowOff>190500</xdr:rowOff>
    </xdr:to>
    <xdr:sp macro="" textlink="">
      <xdr:nvSpPr>
        <xdr:cNvPr id="15" name="TextBox 14"/>
        <xdr:cNvSpPr txBox="1"/>
      </xdr:nvSpPr>
      <xdr:spPr>
        <a:xfrm>
          <a:off x="29568322" y="598714"/>
          <a:ext cx="476249" cy="408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800">
              <a:latin typeface="Century Schoolbook" pitchFamily="18" charset="0"/>
            </a:rPr>
            <a:t>#9</a:t>
          </a:r>
        </a:p>
      </xdr:txBody>
    </xdr:sp>
    <xdr:clientData/>
  </xdr:twoCellAnchor>
  <xdr:twoCellAnchor>
    <xdr:from>
      <xdr:col>63</xdr:col>
      <xdr:colOff>449036</xdr:colOff>
      <xdr:row>1</xdr:row>
      <xdr:rowOff>68035</xdr:rowOff>
    </xdr:from>
    <xdr:to>
      <xdr:col>64</xdr:col>
      <xdr:colOff>476251</xdr:colOff>
      <xdr:row>4</xdr:row>
      <xdr:rowOff>136070</xdr:rowOff>
    </xdr:to>
    <xdr:sp macro="" textlink="">
      <xdr:nvSpPr>
        <xdr:cNvPr id="16" name="Oval 15"/>
        <xdr:cNvSpPr/>
      </xdr:nvSpPr>
      <xdr:spPr>
        <a:xfrm>
          <a:off x="40073036" y="272142"/>
          <a:ext cx="639536" cy="680357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63</xdr:col>
      <xdr:colOff>421821</xdr:colOff>
      <xdr:row>2</xdr:row>
      <xdr:rowOff>0</xdr:rowOff>
    </xdr:from>
    <xdr:to>
      <xdr:col>64</xdr:col>
      <xdr:colOff>544285</xdr:colOff>
      <xdr:row>4</xdr:row>
      <xdr:rowOff>0</xdr:rowOff>
    </xdr:to>
    <xdr:sp macro="" textlink="">
      <xdr:nvSpPr>
        <xdr:cNvPr id="17" name="TextBox 16"/>
        <xdr:cNvSpPr txBox="1"/>
      </xdr:nvSpPr>
      <xdr:spPr>
        <a:xfrm>
          <a:off x="40045821" y="408214"/>
          <a:ext cx="734785" cy="408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800">
              <a:latin typeface="Century Schoolbook" pitchFamily="18" charset="0"/>
            </a:rPr>
            <a:t>#10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323850</xdr:colOff>
      <xdr:row>23</xdr:row>
      <xdr:rowOff>200025</xdr:rowOff>
    </xdr:from>
    <xdr:to>
      <xdr:col>25</xdr:col>
      <xdr:colOff>762000</xdr:colOff>
      <xdr:row>27</xdr:row>
      <xdr:rowOff>0</xdr:rowOff>
    </xdr:to>
    <xdr:sp macro="" textlink="">
      <xdr:nvSpPr>
        <xdr:cNvPr id="2" name="Right Arrow 1"/>
        <xdr:cNvSpPr/>
      </xdr:nvSpPr>
      <xdr:spPr>
        <a:xfrm>
          <a:off x="12077700" y="5200650"/>
          <a:ext cx="4229100" cy="752475"/>
        </a:xfrm>
        <a:prstGeom prst="rightArrow">
          <a:avLst/>
        </a:prstGeom>
        <a:solidFill>
          <a:srgbClr val="C00000">
            <a:alpha val="13000"/>
          </a:srgbClr>
        </a:solidFill>
        <a:ln>
          <a:solidFill>
            <a:srgbClr val="C00000">
              <a:alpha val="26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228600</xdr:colOff>
      <xdr:row>24</xdr:row>
      <xdr:rowOff>219075</xdr:rowOff>
    </xdr:from>
    <xdr:to>
      <xdr:col>25</xdr:col>
      <xdr:colOff>514350</xdr:colOff>
      <xdr:row>25</xdr:row>
      <xdr:rowOff>171450</xdr:rowOff>
    </xdr:to>
    <xdr:sp macro="" textlink="">
      <xdr:nvSpPr>
        <xdr:cNvPr id="3" name="TextBox 2"/>
        <xdr:cNvSpPr txBox="1"/>
      </xdr:nvSpPr>
      <xdr:spPr>
        <a:xfrm>
          <a:off x="12906375" y="5457825"/>
          <a:ext cx="31527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i="1">
              <a:latin typeface="Century Schoolbook" pitchFamily="18" charset="0"/>
            </a:rPr>
            <a:t>Fixed Costs don't change...</a:t>
          </a:r>
        </a:p>
      </xdr:txBody>
    </xdr:sp>
    <xdr:clientData/>
  </xdr:twoCellAnchor>
  <xdr:twoCellAnchor>
    <xdr:from>
      <xdr:col>49</xdr:col>
      <xdr:colOff>323850</xdr:colOff>
      <xdr:row>33</xdr:row>
      <xdr:rowOff>92702</xdr:rowOff>
    </xdr:from>
    <xdr:to>
      <xdr:col>53</xdr:col>
      <xdr:colOff>762000</xdr:colOff>
      <xdr:row>35</xdr:row>
      <xdr:rowOff>67078</xdr:rowOff>
    </xdr:to>
    <xdr:sp macro="" textlink="">
      <xdr:nvSpPr>
        <xdr:cNvPr id="4" name="Right Arrow 3"/>
        <xdr:cNvSpPr/>
      </xdr:nvSpPr>
      <xdr:spPr>
        <a:xfrm>
          <a:off x="32843005" y="7793195"/>
          <a:ext cx="4570122" cy="457334"/>
        </a:xfrm>
        <a:prstGeom prst="rightArrow">
          <a:avLst/>
        </a:prstGeom>
        <a:solidFill>
          <a:srgbClr val="C00000">
            <a:alpha val="13000"/>
          </a:srgbClr>
        </a:solidFill>
        <a:ln>
          <a:solidFill>
            <a:srgbClr val="C00000">
              <a:alpha val="26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228064</xdr:colOff>
      <xdr:row>24</xdr:row>
      <xdr:rowOff>0</xdr:rowOff>
    </xdr:from>
    <xdr:to>
      <xdr:col>53</xdr:col>
      <xdr:colOff>666214</xdr:colOff>
      <xdr:row>26</xdr:row>
      <xdr:rowOff>0</xdr:rowOff>
    </xdr:to>
    <xdr:sp macro="" textlink="">
      <xdr:nvSpPr>
        <xdr:cNvPr id="6" name="Right Arrow 5"/>
        <xdr:cNvSpPr/>
      </xdr:nvSpPr>
      <xdr:spPr>
        <a:xfrm>
          <a:off x="32747219" y="5527183"/>
          <a:ext cx="4570122" cy="482958"/>
        </a:xfrm>
        <a:prstGeom prst="rightArrow">
          <a:avLst/>
        </a:prstGeom>
        <a:solidFill>
          <a:srgbClr val="C00000">
            <a:alpha val="13000"/>
          </a:srgbClr>
        </a:solidFill>
        <a:ln>
          <a:solidFill>
            <a:srgbClr val="C00000">
              <a:alpha val="26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237332</xdr:colOff>
      <xdr:row>15</xdr:row>
      <xdr:rowOff>28574</xdr:rowOff>
    </xdr:from>
    <xdr:to>
      <xdr:col>1</xdr:col>
      <xdr:colOff>238126</xdr:colOff>
      <xdr:row>17</xdr:row>
      <xdr:rowOff>793</xdr:rowOff>
    </xdr:to>
    <xdr:cxnSp macro="">
      <xdr:nvCxnSpPr>
        <xdr:cNvPr id="3" name="Straight Arrow Connector 2"/>
        <xdr:cNvCxnSpPr/>
      </xdr:nvCxnSpPr>
      <xdr:spPr>
        <a:xfrm rot="5400000">
          <a:off x="699294" y="2928937"/>
          <a:ext cx="296069" cy="794"/>
        </a:xfrm>
        <a:prstGeom prst="straightConnector1">
          <a:avLst/>
        </a:prstGeom>
        <a:ln w="12700">
          <a:solidFill>
            <a:schemeClr val="tx1">
              <a:lumMod val="95000"/>
              <a:lumOff val="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19049</xdr:colOff>
      <xdr:row>10</xdr:row>
      <xdr:rowOff>76200</xdr:rowOff>
    </xdr:from>
    <xdr:to>
      <xdr:col>7</xdr:col>
      <xdr:colOff>337324</xdr:colOff>
      <xdr:row>13</xdr:row>
      <xdr:rowOff>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4" y="1733550"/>
          <a:ext cx="1518425" cy="40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19</xdr:col>
      <xdr:colOff>38103</xdr:colOff>
      <xdr:row>11</xdr:row>
      <xdr:rowOff>85730</xdr:rowOff>
    </xdr:from>
    <xdr:to>
      <xdr:col>19</xdr:col>
      <xdr:colOff>295276</xdr:colOff>
      <xdr:row>11</xdr:row>
      <xdr:rowOff>133351</xdr:rowOff>
    </xdr:to>
    <xdr:cxnSp macro="">
      <xdr:nvCxnSpPr>
        <xdr:cNvPr id="7" name="Curved Connector 6"/>
        <xdr:cNvCxnSpPr/>
      </xdr:nvCxnSpPr>
      <xdr:spPr>
        <a:xfrm rot="10800000">
          <a:off x="12639678" y="1905005"/>
          <a:ext cx="257173" cy="47621"/>
        </a:xfrm>
        <a:prstGeom prst="curvedConnector3">
          <a:avLst>
            <a:gd name="adj1" fmla="val 50000"/>
          </a:avLst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63"/>
  <sheetViews>
    <sheetView topLeftCell="C40" workbookViewId="0">
      <selection activeCell="J22" sqref="J22"/>
    </sheetView>
  </sheetViews>
  <sheetFormatPr defaultRowHeight="14.25"/>
  <cols>
    <col min="1" max="1" width="9.140625" style="1"/>
    <col min="2" max="2" width="12.42578125" style="1" customWidth="1"/>
    <col min="3" max="3" width="19.5703125" style="1" bestFit="1" customWidth="1"/>
    <col min="4" max="4" width="14.28515625" style="1" bestFit="1" customWidth="1"/>
    <col min="5" max="5" width="14.7109375" style="3" bestFit="1" customWidth="1"/>
    <col min="6" max="6" width="14.7109375" style="3" customWidth="1"/>
    <col min="7" max="7" width="9.28515625" style="3" bestFit="1" customWidth="1"/>
    <col min="8" max="16384" width="9.140625" style="1"/>
  </cols>
  <sheetData>
    <row r="3" spans="2:6" ht="15">
      <c r="B3" s="12" t="s">
        <v>36</v>
      </c>
      <c r="C3" s="12"/>
    </row>
    <row r="4" spans="2:6" ht="15">
      <c r="B4" s="12" t="s">
        <v>0</v>
      </c>
      <c r="C4" s="12"/>
    </row>
    <row r="6" spans="2:6">
      <c r="B6" s="1" t="s">
        <v>1</v>
      </c>
    </row>
    <row r="7" spans="2:6">
      <c r="B7" s="1" t="s">
        <v>2</v>
      </c>
    </row>
    <row r="8" spans="2:6" ht="15">
      <c r="C8" s="1" t="s">
        <v>3</v>
      </c>
      <c r="E8" s="4">
        <v>57024</v>
      </c>
    </row>
    <row r="9" spans="2:6" ht="15">
      <c r="C9" s="1" t="s">
        <v>4</v>
      </c>
      <c r="E9" s="4">
        <v>57024</v>
      </c>
    </row>
    <row r="11" spans="2:6">
      <c r="B11" s="1" t="s">
        <v>14</v>
      </c>
    </row>
    <row r="13" spans="2:6" ht="15">
      <c r="B13" s="11" t="s">
        <v>5</v>
      </c>
      <c r="E13" s="10" t="s">
        <v>7</v>
      </c>
      <c r="F13" s="10" t="s">
        <v>8</v>
      </c>
    </row>
    <row r="14" spans="2:6" ht="15">
      <c r="C14" s="1" t="s">
        <v>6</v>
      </c>
      <c r="E14" s="4">
        <v>2115207</v>
      </c>
      <c r="F14" s="4">
        <v>37.090000000000003</v>
      </c>
    </row>
    <row r="15" spans="2:6" ht="15">
      <c r="C15" s="1" t="s">
        <v>9</v>
      </c>
      <c r="E15" s="4">
        <v>114048</v>
      </c>
      <c r="F15" s="4">
        <v>2</v>
      </c>
    </row>
    <row r="16" spans="2:6" ht="15">
      <c r="C16" s="1" t="s">
        <v>10</v>
      </c>
      <c r="E16" s="4">
        <v>392895</v>
      </c>
      <c r="F16" s="4">
        <v>6.89</v>
      </c>
    </row>
    <row r="17" spans="2:10" ht="15">
      <c r="C17" s="1" t="s">
        <v>11</v>
      </c>
      <c r="E17" s="4">
        <v>0</v>
      </c>
      <c r="F17" s="4">
        <v>0</v>
      </c>
    </row>
    <row r="18" spans="2:10" ht="15">
      <c r="C18" s="1" t="s">
        <v>12</v>
      </c>
      <c r="E18" s="13">
        <v>0</v>
      </c>
      <c r="F18" s="13">
        <v>0</v>
      </c>
    </row>
    <row r="19" spans="2:10" ht="15">
      <c r="C19" s="366" t="s">
        <v>13</v>
      </c>
      <c r="D19" s="366"/>
      <c r="E19" s="14">
        <v>2622150</v>
      </c>
      <c r="F19" s="14">
        <v>45.98</v>
      </c>
    </row>
    <row r="21" spans="2:10" ht="15">
      <c r="B21" s="12" t="s">
        <v>15</v>
      </c>
      <c r="J21" s="1">
        <f>112/300</f>
        <v>0.37333333333333335</v>
      </c>
    </row>
    <row r="22" spans="2:10" ht="15">
      <c r="C22" s="1" t="s">
        <v>16</v>
      </c>
      <c r="E22" s="4">
        <v>179789</v>
      </c>
      <c r="F22" s="4">
        <v>3.15</v>
      </c>
    </row>
    <row r="23" spans="2:10" ht="15">
      <c r="C23" s="1" t="s">
        <v>17</v>
      </c>
      <c r="E23" s="13">
        <v>72024</v>
      </c>
      <c r="F23" s="13">
        <v>1.26</v>
      </c>
    </row>
    <row r="24" spans="2:10" ht="15">
      <c r="C24" s="369" t="s">
        <v>18</v>
      </c>
      <c r="D24" s="369"/>
      <c r="E24" s="14">
        <f>SUM(E22:E23)</f>
        <v>251813</v>
      </c>
      <c r="F24" s="14">
        <f>SUM(F22:F23)</f>
        <v>4.41</v>
      </c>
    </row>
    <row r="26" spans="2:10" ht="15">
      <c r="B26" s="12" t="s">
        <v>19</v>
      </c>
    </row>
    <row r="27" spans="2:10">
      <c r="C27" s="1" t="s">
        <v>35</v>
      </c>
    </row>
    <row r="28" spans="2:10" ht="15">
      <c r="C28" s="5" t="s">
        <v>22</v>
      </c>
      <c r="D28" s="9"/>
      <c r="E28" s="4">
        <v>1393920</v>
      </c>
      <c r="F28" s="4">
        <v>24.44</v>
      </c>
    </row>
    <row r="29" spans="2:10" ht="15">
      <c r="C29" s="5" t="s">
        <v>20</v>
      </c>
      <c r="D29" s="9"/>
      <c r="E29" s="13">
        <v>1393920</v>
      </c>
      <c r="F29" s="13">
        <v>24.44</v>
      </c>
    </row>
    <row r="30" spans="2:10" ht="15">
      <c r="C30" s="366" t="s">
        <v>21</v>
      </c>
      <c r="D30" s="366"/>
      <c r="E30" s="14">
        <f>SUM(E28:E29)</f>
        <v>2787840</v>
      </c>
      <c r="F30" s="14">
        <f>SUM(F28:F29)</f>
        <v>48.88</v>
      </c>
    </row>
    <row r="31" spans="2:10" ht="15">
      <c r="E31" s="4"/>
      <c r="F31" s="4"/>
    </row>
    <row r="32" spans="2:10" ht="15">
      <c r="C32" s="1" t="s">
        <v>23</v>
      </c>
      <c r="E32" s="4"/>
      <c r="F32" s="4"/>
    </row>
    <row r="33" spans="3:8" ht="15">
      <c r="C33" s="5" t="s">
        <v>26</v>
      </c>
      <c r="E33" s="4">
        <v>2942938</v>
      </c>
      <c r="F33" s="4">
        <v>51.61</v>
      </c>
    </row>
    <row r="34" spans="3:8" ht="15">
      <c r="C34" s="5" t="s">
        <v>25</v>
      </c>
      <c r="E34" s="13">
        <v>1824768</v>
      </c>
      <c r="F34" s="13">
        <v>32</v>
      </c>
    </row>
    <row r="35" spans="3:8" ht="15">
      <c r="C35" s="366" t="s">
        <v>27</v>
      </c>
      <c r="D35" s="366"/>
      <c r="E35" s="13">
        <f>SUM(E33:E34)</f>
        <v>4767706</v>
      </c>
      <c r="F35" s="13">
        <f>SUM(F33:F34)</f>
        <v>83.61</v>
      </c>
    </row>
    <row r="36" spans="3:8" ht="15">
      <c r="E36" s="4"/>
      <c r="F36" s="4"/>
    </row>
    <row r="37" spans="3:8" ht="15">
      <c r="C37" s="1" t="s">
        <v>28</v>
      </c>
      <c r="E37" s="4"/>
      <c r="F37" s="4"/>
    </row>
    <row r="38" spans="3:8" ht="15">
      <c r="C38" s="5" t="s">
        <v>29</v>
      </c>
      <c r="E38" s="4">
        <v>42768</v>
      </c>
      <c r="F38" s="4">
        <v>0.75</v>
      </c>
    </row>
    <row r="39" spans="3:8" ht="15">
      <c r="C39" s="5" t="s">
        <v>30</v>
      </c>
      <c r="E39" s="4">
        <v>114048</v>
      </c>
      <c r="F39" s="4">
        <v>2</v>
      </c>
    </row>
    <row r="40" spans="3:8" ht="15">
      <c r="C40" s="5" t="s">
        <v>17</v>
      </c>
      <c r="E40" s="4">
        <v>42768</v>
      </c>
      <c r="F40" s="4">
        <v>0.75</v>
      </c>
    </row>
    <row r="41" spans="3:8" ht="15">
      <c r="C41" s="5" t="s">
        <v>31</v>
      </c>
      <c r="E41" s="13">
        <v>123840</v>
      </c>
      <c r="F41" s="13">
        <v>2.17</v>
      </c>
    </row>
    <row r="42" spans="3:8" ht="15">
      <c r="C42" s="366" t="s">
        <v>33</v>
      </c>
      <c r="D42" s="366"/>
      <c r="E42" s="14">
        <f>SUM(E38:E41)</f>
        <v>323424</v>
      </c>
      <c r="F42" s="14">
        <f>SUM(F38:F41)</f>
        <v>5.67</v>
      </c>
    </row>
    <row r="43" spans="3:8" ht="15">
      <c r="E43" s="4"/>
      <c r="F43" s="4"/>
    </row>
    <row r="44" spans="3:8" ht="15">
      <c r="C44" s="366" t="s">
        <v>32</v>
      </c>
      <c r="D44" s="366"/>
      <c r="E44" s="14">
        <v>7878970</v>
      </c>
      <c r="F44" s="14">
        <v>138.16999999999999</v>
      </c>
    </row>
    <row r="45" spans="3:8" ht="15">
      <c r="E45" s="4"/>
      <c r="F45" s="4"/>
    </row>
    <row r="46" spans="3:8" ht="15">
      <c r="C46" s="366" t="s">
        <v>34</v>
      </c>
      <c r="D46" s="366"/>
      <c r="E46" s="366"/>
      <c r="F46" s="13">
        <f>SUM(F42,F35,F30,F19,F24)</f>
        <v>188.54999999999998</v>
      </c>
      <c r="H46" s="3"/>
    </row>
    <row r="47" spans="3:8" ht="15">
      <c r="C47" s="5"/>
      <c r="D47" s="5"/>
      <c r="E47" s="5"/>
      <c r="F47" s="15"/>
      <c r="H47" s="3"/>
    </row>
    <row r="48" spans="3:8" ht="15">
      <c r="C48" s="5"/>
      <c r="D48" s="5"/>
      <c r="E48" s="5"/>
      <c r="F48" s="15"/>
      <c r="H48" s="3"/>
    </row>
    <row r="49" spans="2:8" ht="15">
      <c r="C49" s="368" t="s">
        <v>44</v>
      </c>
      <c r="D49" s="368"/>
      <c r="E49" s="368"/>
      <c r="F49" s="15"/>
      <c r="H49" s="3"/>
    </row>
    <row r="50" spans="2:8" ht="15">
      <c r="C50" s="5"/>
      <c r="D50" s="5"/>
      <c r="E50" s="5"/>
      <c r="F50" s="15"/>
      <c r="H50" s="3"/>
    </row>
    <row r="51" spans="2:8" ht="15">
      <c r="B51" s="367" t="s">
        <v>43</v>
      </c>
      <c r="C51" s="367"/>
      <c r="D51" s="18"/>
      <c r="E51" s="18"/>
      <c r="F51" s="15"/>
      <c r="H51" s="3"/>
    </row>
    <row r="52" spans="2:8">
      <c r="B52" s="16"/>
      <c r="C52" s="16"/>
      <c r="D52" s="16" t="s">
        <v>24</v>
      </c>
      <c r="E52" s="17"/>
      <c r="F52" s="17" t="s">
        <v>37</v>
      </c>
    </row>
    <row r="53" spans="2:8" ht="15">
      <c r="B53" s="16" t="s">
        <v>42</v>
      </c>
      <c r="C53" s="16"/>
      <c r="D53" s="15">
        <v>1940160</v>
      </c>
      <c r="E53" s="17"/>
      <c r="F53" s="15">
        <v>0</v>
      </c>
    </row>
    <row r="54" spans="2:8" ht="15">
      <c r="B54" s="16" t="s">
        <v>38</v>
      </c>
      <c r="C54" s="16"/>
      <c r="D54" s="15">
        <v>2972160</v>
      </c>
      <c r="E54" s="17"/>
      <c r="F54" s="15">
        <v>1920000</v>
      </c>
    </row>
    <row r="55" spans="2:8" ht="15">
      <c r="B55" s="16" t="s">
        <v>39</v>
      </c>
      <c r="C55" s="16"/>
      <c r="D55" s="15"/>
      <c r="E55" s="17"/>
      <c r="F55" s="19" t="s">
        <v>40</v>
      </c>
    </row>
    <row r="56" spans="2:8" ht="15">
      <c r="B56" s="16"/>
      <c r="C56" s="16"/>
      <c r="D56" s="15">
        <v>4912320</v>
      </c>
      <c r="E56" s="17"/>
      <c r="F56" s="15">
        <v>1920000</v>
      </c>
    </row>
    <row r="57" spans="2:8" ht="15">
      <c r="B57" s="16"/>
      <c r="C57" s="16"/>
      <c r="D57" s="15"/>
      <c r="E57" s="17"/>
      <c r="F57" s="20"/>
    </row>
    <row r="58" spans="2:8" ht="15">
      <c r="B58" s="16" t="s">
        <v>41</v>
      </c>
      <c r="C58" s="16"/>
      <c r="D58" s="15">
        <v>1969882</v>
      </c>
      <c r="E58" s="17"/>
      <c r="F58" s="15">
        <v>95232</v>
      </c>
    </row>
    <row r="59" spans="2:8" ht="15">
      <c r="B59" s="16"/>
      <c r="C59" s="16"/>
      <c r="D59" s="15"/>
      <c r="E59" s="17"/>
      <c r="F59" s="15"/>
    </row>
    <row r="60" spans="2:8" ht="15">
      <c r="B60" s="16"/>
      <c r="C60" s="16"/>
      <c r="D60" s="15">
        <f>D53+D54-D58</f>
        <v>2942438</v>
      </c>
      <c r="E60" s="17"/>
      <c r="F60" s="15">
        <f>F54-F58</f>
        <v>1824768</v>
      </c>
    </row>
    <row r="61" spans="2:8">
      <c r="D61" s="3"/>
    </row>
    <row r="63" spans="2:8">
      <c r="D63" s="3"/>
    </row>
  </sheetData>
  <mergeCells count="9">
    <mergeCell ref="C44:D44"/>
    <mergeCell ref="C46:E46"/>
    <mergeCell ref="B51:C51"/>
    <mergeCell ref="C49:E49"/>
    <mergeCell ref="C19:D19"/>
    <mergeCell ref="C24:D24"/>
    <mergeCell ref="C30:D30"/>
    <mergeCell ref="C35:D35"/>
    <mergeCell ref="C42:D4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C1:AC87"/>
  <sheetViews>
    <sheetView topLeftCell="B7" workbookViewId="0">
      <selection activeCell="C29" sqref="C29"/>
    </sheetView>
  </sheetViews>
  <sheetFormatPr defaultRowHeight="12.75"/>
  <cols>
    <col min="1" max="2" width="9.140625" style="33"/>
    <col min="3" max="3" width="3.7109375" style="170" customWidth="1"/>
    <col min="4" max="4" width="9.140625" style="170"/>
    <col min="5" max="6" width="9.140625" style="33"/>
    <col min="7" max="7" width="9.140625" style="104"/>
    <col min="8" max="11" width="9.140625" style="33"/>
    <col min="12" max="12" width="3.5703125" style="33" customWidth="1"/>
    <col min="13" max="20" width="9.140625" style="33"/>
    <col min="21" max="21" width="4.5703125" style="33" customWidth="1"/>
    <col min="22" max="16384" width="9.140625" style="33"/>
  </cols>
  <sheetData>
    <row r="1" spans="3:27">
      <c r="C1" s="423" t="s">
        <v>398</v>
      </c>
      <c r="D1" s="423"/>
      <c r="E1" s="423"/>
      <c r="F1" s="423"/>
      <c r="G1" s="423"/>
      <c r="H1" s="423"/>
      <c r="I1" s="423"/>
    </row>
    <row r="2" spans="3:27">
      <c r="C2" s="423"/>
      <c r="D2" s="423"/>
      <c r="E2" s="423"/>
      <c r="F2" s="423"/>
      <c r="G2" s="423"/>
      <c r="H2" s="423"/>
      <c r="I2" s="423"/>
      <c r="R2" s="35"/>
      <c r="U2" s="423" t="s">
        <v>398</v>
      </c>
      <c r="V2" s="423"/>
      <c r="W2" s="423"/>
      <c r="X2" s="423"/>
      <c r="Y2" s="423"/>
      <c r="Z2" s="423"/>
      <c r="AA2" s="423"/>
    </row>
    <row r="3" spans="3:27">
      <c r="C3" s="423"/>
      <c r="D3" s="423"/>
      <c r="E3" s="423"/>
      <c r="F3" s="423"/>
      <c r="G3" s="423"/>
      <c r="H3" s="423"/>
      <c r="I3" s="423"/>
      <c r="U3" s="423"/>
      <c r="V3" s="423"/>
      <c r="W3" s="423"/>
      <c r="X3" s="423"/>
      <c r="Y3" s="423"/>
      <c r="Z3" s="423"/>
      <c r="AA3" s="423"/>
    </row>
    <row r="4" spans="3:27" ht="18">
      <c r="C4" s="424" t="s">
        <v>399</v>
      </c>
      <c r="D4" s="424"/>
      <c r="E4" s="424"/>
      <c r="F4" s="424"/>
      <c r="U4" s="423"/>
      <c r="V4" s="423"/>
      <c r="W4" s="423"/>
      <c r="X4" s="423"/>
      <c r="Y4" s="423"/>
      <c r="Z4" s="423"/>
      <c r="AA4" s="423"/>
    </row>
    <row r="5" spans="3:27" ht="18">
      <c r="L5" s="423" t="s">
        <v>398</v>
      </c>
      <c r="M5" s="423"/>
      <c r="N5" s="423"/>
      <c r="O5" s="423"/>
      <c r="P5" s="423"/>
      <c r="Q5" s="423"/>
      <c r="R5" s="423"/>
      <c r="U5" s="424" t="s">
        <v>424</v>
      </c>
      <c r="V5" s="424"/>
      <c r="W5" s="424"/>
      <c r="X5" s="424"/>
      <c r="Y5" s="104"/>
    </row>
    <row r="6" spans="3:27">
      <c r="C6" s="170" t="s">
        <v>409</v>
      </c>
      <c r="I6" s="250">
        <v>4368000</v>
      </c>
      <c r="L6" s="423"/>
      <c r="M6" s="423"/>
      <c r="N6" s="423"/>
      <c r="O6" s="423"/>
      <c r="P6" s="423"/>
      <c r="Q6" s="423"/>
      <c r="R6" s="423"/>
      <c r="U6" s="170"/>
      <c r="V6" s="170"/>
      <c r="Y6" s="104"/>
    </row>
    <row r="7" spans="3:27">
      <c r="L7" s="423"/>
      <c r="M7" s="423"/>
      <c r="N7" s="423"/>
      <c r="O7" s="423"/>
      <c r="P7" s="423"/>
      <c r="Q7" s="423"/>
      <c r="R7" s="423"/>
      <c r="U7" s="170" t="s">
        <v>425</v>
      </c>
      <c r="V7" s="170"/>
      <c r="Y7" s="104"/>
      <c r="AA7" s="250">
        <v>5241600</v>
      </c>
    </row>
    <row r="8" spans="3:27" ht="18">
      <c r="C8" s="170" t="s">
        <v>202</v>
      </c>
      <c r="L8" s="424" t="s">
        <v>415</v>
      </c>
      <c r="M8" s="424"/>
      <c r="N8" s="424"/>
      <c r="O8" s="424"/>
      <c r="U8" s="170"/>
      <c r="V8" s="170"/>
      <c r="Y8" s="104"/>
      <c r="AA8" s="118"/>
    </row>
    <row r="9" spans="3:27">
      <c r="D9" s="170" t="s">
        <v>400</v>
      </c>
      <c r="G9" s="250">
        <v>1990464</v>
      </c>
      <c r="U9" s="170" t="s">
        <v>202</v>
      </c>
      <c r="V9" s="170"/>
      <c r="Y9" s="104"/>
    </row>
    <row r="10" spans="3:27">
      <c r="L10" s="33" t="s">
        <v>90</v>
      </c>
      <c r="M10" s="33" t="s">
        <v>416</v>
      </c>
      <c r="V10" s="170" t="s">
        <v>426</v>
      </c>
      <c r="Y10" s="250">
        <v>2388557</v>
      </c>
    </row>
    <row r="11" spans="3:27">
      <c r="C11" s="170" t="s">
        <v>9</v>
      </c>
      <c r="L11" s="33" t="s">
        <v>91</v>
      </c>
      <c r="M11" s="33" t="s">
        <v>417</v>
      </c>
      <c r="U11" s="170"/>
      <c r="V11" s="170" t="s">
        <v>427</v>
      </c>
      <c r="Y11" s="250">
        <v>32256</v>
      </c>
    </row>
    <row r="12" spans="3:27">
      <c r="D12" s="170" t="s">
        <v>401</v>
      </c>
      <c r="G12" s="250">
        <v>26880</v>
      </c>
      <c r="L12" s="33" t="s">
        <v>92</v>
      </c>
      <c r="M12" s="33" t="s">
        <v>418</v>
      </c>
      <c r="U12" s="170"/>
      <c r="V12" s="170"/>
      <c r="Y12" s="104"/>
    </row>
    <row r="13" spans="3:27">
      <c r="L13" s="33" t="s">
        <v>93</v>
      </c>
      <c r="M13" s="33" t="s">
        <v>419</v>
      </c>
      <c r="U13" s="170" t="s">
        <v>402</v>
      </c>
      <c r="V13" s="170"/>
      <c r="Y13" s="104"/>
    </row>
    <row r="14" spans="3:27">
      <c r="C14" s="170" t="s">
        <v>402</v>
      </c>
      <c r="L14" s="33" t="s">
        <v>95</v>
      </c>
      <c r="M14" s="33" t="s">
        <v>420</v>
      </c>
      <c r="U14" s="170"/>
      <c r="V14" s="170" t="s">
        <v>428</v>
      </c>
      <c r="Y14" s="250">
        <v>524160</v>
      </c>
    </row>
    <row r="15" spans="3:27">
      <c r="D15" s="170" t="s">
        <v>403</v>
      </c>
      <c r="G15" s="250">
        <v>436800</v>
      </c>
      <c r="L15" s="33" t="s">
        <v>421</v>
      </c>
      <c r="M15" s="33" t="s">
        <v>422</v>
      </c>
      <c r="U15" s="170"/>
      <c r="V15" s="170"/>
      <c r="Y15" s="104"/>
    </row>
    <row r="16" spans="3:27">
      <c r="U16" s="170" t="s">
        <v>404</v>
      </c>
      <c r="V16" s="170"/>
      <c r="Y16" s="104"/>
    </row>
    <row r="17" spans="3:27">
      <c r="C17" s="170" t="s">
        <v>404</v>
      </c>
      <c r="U17" s="170"/>
      <c r="V17" s="170" t="s">
        <v>429</v>
      </c>
      <c r="Y17" s="250">
        <v>111122</v>
      </c>
    </row>
    <row r="18" spans="3:27" ht="12.75" customHeight="1">
      <c r="D18" s="170" t="s">
        <v>405</v>
      </c>
      <c r="G18" s="250">
        <v>92602</v>
      </c>
      <c r="L18" s="260" t="s">
        <v>423</v>
      </c>
      <c r="U18" s="170"/>
      <c r="V18" s="170"/>
      <c r="Y18" s="118"/>
    </row>
    <row r="19" spans="3:27">
      <c r="U19" s="170" t="s">
        <v>11</v>
      </c>
      <c r="V19" s="170"/>
      <c r="Y19" s="118"/>
    </row>
    <row r="20" spans="3:27">
      <c r="C20" s="170" t="s">
        <v>406</v>
      </c>
      <c r="U20" s="170"/>
      <c r="V20" s="170" t="s">
        <v>430</v>
      </c>
      <c r="Y20" s="250">
        <v>78624</v>
      </c>
    </row>
    <row r="21" spans="3:27">
      <c r="D21" s="170" t="s">
        <v>407</v>
      </c>
      <c r="G21" s="250">
        <v>42336</v>
      </c>
      <c r="U21" s="170"/>
      <c r="V21" s="170"/>
      <c r="Y21" s="104"/>
    </row>
    <row r="22" spans="3:27">
      <c r="U22" s="170" t="s">
        <v>431</v>
      </c>
      <c r="V22" s="170"/>
      <c r="Y22" s="104"/>
    </row>
    <row r="23" spans="3:27">
      <c r="C23" s="170" t="s">
        <v>17</v>
      </c>
      <c r="U23" s="170"/>
      <c r="V23" s="170" t="s">
        <v>432</v>
      </c>
      <c r="Y23" s="250">
        <f>0.85*16128</f>
        <v>13708.8</v>
      </c>
    </row>
    <row r="24" spans="3:27">
      <c r="C24" s="258"/>
      <c r="D24" s="258" t="s">
        <v>408</v>
      </c>
      <c r="E24" s="35"/>
      <c r="F24" s="35"/>
      <c r="G24" s="250">
        <v>13440</v>
      </c>
      <c r="H24" s="35"/>
      <c r="I24" s="250">
        <f>SUM(G9:G24)</f>
        <v>2602522</v>
      </c>
      <c r="U24" s="170" t="s">
        <v>406</v>
      </c>
      <c r="V24" s="170"/>
      <c r="Y24" s="104"/>
    </row>
    <row r="25" spans="3:27">
      <c r="C25" s="170" t="s">
        <v>81</v>
      </c>
      <c r="I25" s="251">
        <f>I6-I24</f>
        <v>1765478</v>
      </c>
      <c r="U25" s="170"/>
      <c r="V25" s="170" t="s">
        <v>16</v>
      </c>
      <c r="Y25" s="104"/>
    </row>
    <row r="26" spans="3:27">
      <c r="U26" s="170"/>
      <c r="V26" s="170" t="s">
        <v>433</v>
      </c>
      <c r="Y26" s="104">
        <f>3.15*16128</f>
        <v>50803.199999999997</v>
      </c>
    </row>
    <row r="27" spans="3:27">
      <c r="U27" s="170"/>
      <c r="V27" s="170" t="s">
        <v>17</v>
      </c>
      <c r="Y27" s="261"/>
    </row>
    <row r="28" spans="3:27">
      <c r="C28" s="170" t="s">
        <v>450</v>
      </c>
      <c r="U28" s="35"/>
      <c r="V28" s="258" t="s">
        <v>434</v>
      </c>
      <c r="W28" s="35"/>
      <c r="X28" s="35"/>
      <c r="Y28" s="250">
        <f>1*16128</f>
        <v>16128</v>
      </c>
      <c r="Z28" s="35"/>
      <c r="AA28" s="104">
        <f>SUM(Y10:Y28)</f>
        <v>3215359</v>
      </c>
    </row>
    <row r="29" spans="3:27">
      <c r="D29" s="170" t="s">
        <v>410</v>
      </c>
      <c r="G29" s="250">
        <v>880000</v>
      </c>
      <c r="U29" s="170" t="s">
        <v>617</v>
      </c>
      <c r="V29" s="170"/>
      <c r="Y29" s="104"/>
      <c r="AA29" s="251">
        <f>AA7-AA28</f>
        <v>2026241</v>
      </c>
    </row>
    <row r="30" spans="3:27">
      <c r="D30" s="170" t="s">
        <v>411</v>
      </c>
      <c r="G30" s="251">
        <v>66000</v>
      </c>
      <c r="U30" s="170"/>
      <c r="V30" s="170"/>
      <c r="Y30" s="104"/>
    </row>
    <row r="31" spans="3:27">
      <c r="D31" s="170" t="s">
        <v>57</v>
      </c>
      <c r="G31" s="251">
        <v>208000</v>
      </c>
      <c r="U31" s="170"/>
      <c r="V31" s="170"/>
      <c r="Y31" s="104"/>
    </row>
    <row r="32" spans="3:27">
      <c r="D32" s="170" t="s">
        <v>412</v>
      </c>
      <c r="G32" s="251">
        <v>15000</v>
      </c>
      <c r="U32" s="170" t="s">
        <v>450</v>
      </c>
      <c r="V32" s="170"/>
      <c r="Y32" s="104"/>
    </row>
    <row r="33" spans="4:29">
      <c r="D33" s="170" t="s">
        <v>413</v>
      </c>
      <c r="G33" s="251">
        <v>60000</v>
      </c>
      <c r="U33" s="170"/>
      <c r="V33" s="170" t="s">
        <v>410</v>
      </c>
      <c r="Y33" s="250">
        <v>880000</v>
      </c>
    </row>
    <row r="34" spans="4:29">
      <c r="D34" s="170" t="s">
        <v>365</v>
      </c>
      <c r="G34" s="251">
        <v>14375</v>
      </c>
      <c r="U34" s="170"/>
      <c r="V34" s="170" t="s">
        <v>411</v>
      </c>
      <c r="Y34" s="251">
        <v>66000</v>
      </c>
    </row>
    <row r="35" spans="4:29">
      <c r="D35" s="170" t="s">
        <v>12</v>
      </c>
      <c r="G35" s="251">
        <v>0</v>
      </c>
      <c r="I35" s="250">
        <f>SUM(G29:G35)</f>
        <v>1243375</v>
      </c>
      <c r="U35" s="170"/>
      <c r="V35" s="170" t="s">
        <v>57</v>
      </c>
      <c r="Y35" s="251">
        <v>208000</v>
      </c>
    </row>
    <row r="36" spans="4:29">
      <c r="U36" s="170"/>
      <c r="V36" s="170" t="s">
        <v>412</v>
      </c>
      <c r="Y36" s="251">
        <v>15000</v>
      </c>
    </row>
    <row r="37" spans="4:29" ht="13.5" thickBot="1">
      <c r="G37" s="253" t="s">
        <v>414</v>
      </c>
      <c r="H37" s="259"/>
      <c r="I37" s="253">
        <f>I25-I35</f>
        <v>522103</v>
      </c>
      <c r="U37" s="170"/>
      <c r="V37" s="170" t="s">
        <v>413</v>
      </c>
      <c r="Y37" s="251">
        <v>60000</v>
      </c>
    </row>
    <row r="38" spans="4:29" ht="13.5" thickTop="1">
      <c r="I38" s="37"/>
      <c r="U38" s="170"/>
      <c r="V38" s="170" t="s">
        <v>365</v>
      </c>
      <c r="Y38" s="251">
        <v>14375</v>
      </c>
    </row>
    <row r="39" spans="4:29">
      <c r="G39" s="422" t="s">
        <v>616</v>
      </c>
      <c r="H39" s="422"/>
      <c r="I39" s="422"/>
      <c r="J39" s="422"/>
      <c r="K39" s="422"/>
      <c r="L39" s="422"/>
      <c r="U39" s="170"/>
      <c r="V39" s="170" t="s">
        <v>12</v>
      </c>
      <c r="Y39" s="251">
        <v>36000</v>
      </c>
      <c r="AA39" s="250">
        <f>SUM(Y33:Y39)</f>
        <v>1279375</v>
      </c>
      <c r="AC39" s="37"/>
    </row>
    <row r="40" spans="4:29">
      <c r="G40" s="422"/>
      <c r="H40" s="422"/>
      <c r="I40" s="422"/>
      <c r="J40" s="422"/>
      <c r="K40" s="422"/>
      <c r="L40" s="422"/>
      <c r="U40" s="170"/>
      <c r="V40" s="170"/>
      <c r="Y40" s="104"/>
    </row>
    <row r="41" spans="4:29" ht="13.5" thickBot="1">
      <c r="G41" s="422"/>
      <c r="H41" s="422"/>
      <c r="I41" s="422"/>
      <c r="J41" s="422"/>
      <c r="K41" s="422"/>
      <c r="L41" s="422"/>
      <c r="U41" s="170"/>
      <c r="V41" s="170"/>
      <c r="Y41" s="253" t="s">
        <v>414</v>
      </c>
      <c r="Z41" s="259"/>
      <c r="AA41" s="253">
        <f>AA29-AA39</f>
        <v>746866</v>
      </c>
    </row>
    <row r="42" spans="4:29" ht="13.5" thickTop="1">
      <c r="G42" s="422"/>
      <c r="H42" s="422"/>
      <c r="I42" s="422"/>
      <c r="J42" s="422"/>
      <c r="K42" s="422"/>
      <c r="L42" s="422"/>
    </row>
    <row r="43" spans="4:29">
      <c r="G43" s="422"/>
      <c r="H43" s="422"/>
      <c r="I43" s="422"/>
      <c r="J43" s="422"/>
      <c r="K43" s="422"/>
      <c r="L43" s="422"/>
    </row>
    <row r="44" spans="4:29">
      <c r="G44" s="422"/>
      <c r="H44" s="422"/>
      <c r="I44" s="422"/>
      <c r="J44" s="422"/>
      <c r="K44" s="422"/>
      <c r="L44" s="422"/>
    </row>
    <row r="45" spans="4:29">
      <c r="U45" s="423" t="s">
        <v>398</v>
      </c>
      <c r="V45" s="423"/>
      <c r="W45" s="423"/>
      <c r="X45" s="423"/>
      <c r="Y45" s="423"/>
      <c r="Z45" s="423"/>
      <c r="AA45" s="423"/>
    </row>
    <row r="46" spans="4:29">
      <c r="G46" s="104" t="s">
        <v>613</v>
      </c>
      <c r="U46" s="423"/>
      <c r="V46" s="423"/>
      <c r="W46" s="423"/>
      <c r="X46" s="423"/>
      <c r="Y46" s="423"/>
      <c r="Z46" s="423"/>
      <c r="AA46" s="423"/>
    </row>
    <row r="47" spans="4:29">
      <c r="U47" s="423"/>
      <c r="V47" s="423"/>
      <c r="W47" s="423"/>
      <c r="X47" s="423"/>
      <c r="Y47" s="423"/>
      <c r="Z47" s="423"/>
      <c r="AA47" s="423"/>
    </row>
    <row r="48" spans="4:29" ht="18">
      <c r="U48" s="424" t="s">
        <v>424</v>
      </c>
      <c r="V48" s="424"/>
      <c r="W48" s="424"/>
      <c r="X48" s="424"/>
      <c r="Y48" s="104"/>
    </row>
    <row r="49" spans="3:27">
      <c r="U49" s="170"/>
      <c r="V49" s="170"/>
      <c r="Y49" s="104"/>
    </row>
    <row r="50" spans="3:27">
      <c r="C50" s="423" t="s">
        <v>398</v>
      </c>
      <c r="D50" s="423"/>
      <c r="E50" s="423"/>
      <c r="F50" s="423"/>
      <c r="G50" s="423"/>
      <c r="H50" s="423"/>
      <c r="I50" s="423"/>
      <c r="U50" s="170" t="s">
        <v>425</v>
      </c>
      <c r="V50" s="170"/>
      <c r="Y50" s="104"/>
      <c r="AA50" s="250">
        <v>5241600</v>
      </c>
    </row>
    <row r="51" spans="3:27">
      <c r="C51" s="423"/>
      <c r="D51" s="423"/>
      <c r="E51" s="423"/>
      <c r="F51" s="423"/>
      <c r="G51" s="423"/>
      <c r="H51" s="423"/>
      <c r="I51" s="423"/>
      <c r="U51" s="170"/>
      <c r="V51" s="170"/>
      <c r="Y51" s="104"/>
      <c r="AA51" s="118"/>
    </row>
    <row r="52" spans="3:27">
      <c r="C52" s="423"/>
      <c r="D52" s="423"/>
      <c r="E52" s="423"/>
      <c r="F52" s="423"/>
      <c r="G52" s="423"/>
      <c r="H52" s="423"/>
      <c r="I52" s="423"/>
      <c r="U52" s="170" t="s">
        <v>202</v>
      </c>
      <c r="V52" s="170"/>
      <c r="Y52" s="104"/>
    </row>
    <row r="53" spans="3:27" ht="18">
      <c r="C53" s="424" t="s">
        <v>399</v>
      </c>
      <c r="D53" s="424"/>
      <c r="E53" s="424"/>
      <c r="F53" s="424"/>
      <c r="V53" s="170" t="s">
        <v>614</v>
      </c>
      <c r="Y53" s="250">
        <f>16128*148.16</f>
        <v>2389524.48</v>
      </c>
    </row>
    <row r="54" spans="3:27">
      <c r="U54" s="170"/>
      <c r="V54" s="170" t="s">
        <v>427</v>
      </c>
      <c r="Y54" s="250">
        <v>32256</v>
      </c>
    </row>
    <row r="55" spans="3:27">
      <c r="C55" s="170" t="s">
        <v>409</v>
      </c>
      <c r="I55" s="250">
        <v>4368000</v>
      </c>
      <c r="U55" s="170"/>
      <c r="V55" s="170"/>
      <c r="Y55" s="104"/>
    </row>
    <row r="56" spans="3:27">
      <c r="U56" s="170" t="s">
        <v>402</v>
      </c>
      <c r="V56" s="170"/>
      <c r="Y56" s="104"/>
    </row>
    <row r="57" spans="3:27">
      <c r="C57" s="170" t="s">
        <v>202</v>
      </c>
      <c r="U57" s="170"/>
      <c r="V57" s="170" t="s">
        <v>428</v>
      </c>
      <c r="Y57" s="250">
        <v>524160</v>
      </c>
    </row>
    <row r="58" spans="3:27">
      <c r="D58" s="170" t="s">
        <v>615</v>
      </c>
      <c r="G58" s="250">
        <f>148.16*13440</f>
        <v>1991270.3999999999</v>
      </c>
      <c r="U58" s="170"/>
      <c r="V58" s="170"/>
      <c r="Y58" s="104"/>
    </row>
    <row r="59" spans="3:27">
      <c r="U59" s="170" t="s">
        <v>404</v>
      </c>
      <c r="V59" s="170"/>
      <c r="Y59" s="104"/>
    </row>
    <row r="60" spans="3:27">
      <c r="C60" s="170" t="s">
        <v>9</v>
      </c>
      <c r="U60" s="170"/>
      <c r="V60" s="170" t="s">
        <v>429</v>
      </c>
      <c r="Y60" s="250">
        <v>111122</v>
      </c>
    </row>
    <row r="61" spans="3:27">
      <c r="D61" s="170" t="s">
        <v>401</v>
      </c>
      <c r="G61" s="250">
        <v>26880</v>
      </c>
      <c r="U61" s="170"/>
      <c r="V61" s="170"/>
      <c r="Y61" s="118"/>
    </row>
    <row r="62" spans="3:27">
      <c r="U62" s="170" t="s">
        <v>11</v>
      </c>
      <c r="V62" s="170"/>
      <c r="Y62" s="118"/>
    </row>
    <row r="63" spans="3:27">
      <c r="C63" s="170" t="s">
        <v>402</v>
      </c>
      <c r="U63" s="170"/>
      <c r="V63" s="170" t="s">
        <v>430</v>
      </c>
      <c r="Y63" s="250">
        <v>78624</v>
      </c>
    </row>
    <row r="64" spans="3:27">
      <c r="D64" s="170" t="s">
        <v>403</v>
      </c>
      <c r="G64" s="250">
        <v>436800</v>
      </c>
      <c r="U64" s="170"/>
      <c r="V64" s="170"/>
      <c r="Y64" s="104"/>
    </row>
    <row r="65" spans="3:27">
      <c r="U65" s="170" t="s">
        <v>431</v>
      </c>
      <c r="V65" s="170"/>
      <c r="Y65" s="104"/>
    </row>
    <row r="66" spans="3:27">
      <c r="C66" s="170" t="s">
        <v>404</v>
      </c>
      <c r="U66" s="170"/>
      <c r="V66" s="170" t="s">
        <v>432</v>
      </c>
      <c r="Y66" s="250">
        <f>0.85*16128</f>
        <v>13708.8</v>
      </c>
    </row>
    <row r="67" spans="3:27">
      <c r="D67" s="170" t="s">
        <v>405</v>
      </c>
      <c r="G67" s="250">
        <v>92602</v>
      </c>
      <c r="U67" s="170" t="s">
        <v>406</v>
      </c>
      <c r="V67" s="170"/>
      <c r="Y67" s="104"/>
    </row>
    <row r="68" spans="3:27">
      <c r="U68" s="170"/>
      <c r="V68" s="170" t="s">
        <v>16</v>
      </c>
      <c r="Y68" s="104"/>
    </row>
    <row r="69" spans="3:27">
      <c r="C69" s="170" t="s">
        <v>406</v>
      </c>
      <c r="U69" s="170"/>
      <c r="V69" s="170" t="s">
        <v>433</v>
      </c>
      <c r="Y69" s="104">
        <f>3.15*16128</f>
        <v>50803.199999999997</v>
      </c>
    </row>
    <row r="70" spans="3:27">
      <c r="D70" s="170" t="s">
        <v>407</v>
      </c>
      <c r="G70" s="250">
        <v>42336</v>
      </c>
      <c r="U70" s="170"/>
      <c r="V70" s="170" t="s">
        <v>17</v>
      </c>
      <c r="Y70" s="261"/>
    </row>
    <row r="71" spans="3:27">
      <c r="U71" s="35"/>
      <c r="V71" s="258" t="s">
        <v>434</v>
      </c>
      <c r="W71" s="35"/>
      <c r="X71" s="35"/>
      <c r="Y71" s="250">
        <f>1*16128</f>
        <v>16128</v>
      </c>
      <c r="Z71" s="35"/>
      <c r="AA71" s="104">
        <f>SUM(Y53:Y71)</f>
        <v>3216326.48</v>
      </c>
    </row>
    <row r="72" spans="3:27">
      <c r="C72" s="170" t="s">
        <v>17</v>
      </c>
      <c r="U72" s="170" t="s">
        <v>617</v>
      </c>
      <c r="V72" s="170"/>
      <c r="Y72" s="104"/>
      <c r="AA72" s="251">
        <f>AA50-AA71</f>
        <v>2025273.52</v>
      </c>
    </row>
    <row r="73" spans="3:27">
      <c r="C73" s="258"/>
      <c r="D73" s="258" t="s">
        <v>408</v>
      </c>
      <c r="E73" s="35"/>
      <c r="F73" s="35"/>
      <c r="G73" s="250">
        <v>13440</v>
      </c>
      <c r="H73" s="35"/>
      <c r="I73" s="250">
        <f>SUM(G58:G73)</f>
        <v>2603328.4</v>
      </c>
      <c r="U73" s="170"/>
      <c r="V73" s="170"/>
      <c r="Y73" s="104"/>
    </row>
    <row r="74" spans="3:27">
      <c r="C74" s="170" t="s">
        <v>81</v>
      </c>
      <c r="I74" s="251">
        <f>I55-I73</f>
        <v>1764671.6</v>
      </c>
      <c r="U74" s="170"/>
      <c r="V74" s="170"/>
      <c r="Y74" s="104"/>
    </row>
    <row r="75" spans="3:27">
      <c r="U75" s="170" t="s">
        <v>450</v>
      </c>
      <c r="V75" s="170"/>
      <c r="Y75" s="104"/>
    </row>
    <row r="76" spans="3:27">
      <c r="U76" s="170"/>
      <c r="V76" s="170" t="s">
        <v>410</v>
      </c>
      <c r="Y76" s="250">
        <v>880000</v>
      </c>
    </row>
    <row r="77" spans="3:27">
      <c r="C77" s="170" t="s">
        <v>450</v>
      </c>
      <c r="U77" s="170"/>
      <c r="V77" s="170" t="s">
        <v>411</v>
      </c>
      <c r="Y77" s="251">
        <v>66000</v>
      </c>
    </row>
    <row r="78" spans="3:27">
      <c r="D78" s="170" t="s">
        <v>410</v>
      </c>
      <c r="G78" s="250">
        <v>880000</v>
      </c>
      <c r="U78" s="170"/>
      <c r="V78" s="170" t="s">
        <v>57</v>
      </c>
      <c r="Y78" s="251">
        <v>208000</v>
      </c>
    </row>
    <row r="79" spans="3:27">
      <c r="D79" s="170" t="s">
        <v>411</v>
      </c>
      <c r="G79" s="251">
        <v>66000</v>
      </c>
      <c r="U79" s="170"/>
      <c r="V79" s="170" t="s">
        <v>412</v>
      </c>
      <c r="Y79" s="251">
        <v>15000</v>
      </c>
    </row>
    <row r="80" spans="3:27">
      <c r="D80" s="170" t="s">
        <v>57</v>
      </c>
      <c r="G80" s="251">
        <v>208000</v>
      </c>
      <c r="U80" s="170"/>
      <c r="V80" s="170" t="s">
        <v>413</v>
      </c>
      <c r="Y80" s="251">
        <v>60000</v>
      </c>
    </row>
    <row r="81" spans="4:27">
      <c r="D81" s="170" t="s">
        <v>412</v>
      </c>
      <c r="G81" s="251">
        <v>15000</v>
      </c>
      <c r="U81" s="170"/>
      <c r="V81" s="170" t="s">
        <v>365</v>
      </c>
      <c r="Y81" s="251">
        <v>14375</v>
      </c>
    </row>
    <row r="82" spans="4:27">
      <c r="D82" s="170" t="s">
        <v>413</v>
      </c>
      <c r="G82" s="251">
        <v>60000</v>
      </c>
      <c r="U82" s="170"/>
      <c r="V82" s="170" t="s">
        <v>12</v>
      </c>
      <c r="Y82" s="251">
        <v>36000</v>
      </c>
      <c r="AA82" s="250">
        <f>SUM(Y76:Y82)</f>
        <v>1279375</v>
      </c>
    </row>
    <row r="83" spans="4:27">
      <c r="D83" s="170" t="s">
        <v>365</v>
      </c>
      <c r="G83" s="251">
        <v>14375</v>
      </c>
      <c r="U83" s="170"/>
      <c r="V83" s="170"/>
      <c r="Y83" s="104"/>
    </row>
    <row r="84" spans="4:27" ht="13.5" thickBot="1">
      <c r="D84" s="170" t="s">
        <v>12</v>
      </c>
      <c r="G84" s="251">
        <v>0</v>
      </c>
      <c r="I84" s="250">
        <f>SUM(G78:G84)</f>
        <v>1243375</v>
      </c>
      <c r="U84" s="170"/>
      <c r="V84" s="170"/>
      <c r="Y84" s="253" t="s">
        <v>414</v>
      </c>
      <c r="Z84" s="259"/>
      <c r="AA84" s="253">
        <f>AA72-AA82</f>
        <v>745898.52</v>
      </c>
    </row>
    <row r="85" spans="4:27" ht="13.5" thickTop="1"/>
    <row r="86" spans="4:27" ht="13.5" thickBot="1">
      <c r="G86" s="253" t="s">
        <v>414</v>
      </c>
      <c r="H86" s="259"/>
      <c r="I86" s="253">
        <f>I74-I84</f>
        <v>521296.60000000009</v>
      </c>
    </row>
    <row r="87" spans="4:27" ht="13.5" thickTop="1"/>
  </sheetData>
  <mergeCells count="11">
    <mergeCell ref="U45:AA47"/>
    <mergeCell ref="U48:X48"/>
    <mergeCell ref="G39:L44"/>
    <mergeCell ref="C50:I52"/>
    <mergeCell ref="C53:F53"/>
    <mergeCell ref="C1:I3"/>
    <mergeCell ref="C4:F4"/>
    <mergeCell ref="L5:R7"/>
    <mergeCell ref="L8:O8"/>
    <mergeCell ref="U2:AA4"/>
    <mergeCell ref="U5:X5"/>
  </mergeCells>
  <pageMargins left="0.7" right="0.7" top="0.75" bottom="0.75" header="0.3" footer="0.3"/>
  <pageSetup scale="1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3:X68"/>
  <sheetViews>
    <sheetView workbookViewId="0">
      <selection activeCell="K34" sqref="K34"/>
    </sheetView>
  </sheetViews>
  <sheetFormatPr defaultRowHeight="12.75"/>
  <cols>
    <col min="1" max="1" width="9.140625" style="33"/>
    <col min="2" max="2" width="3.42578125" style="33" customWidth="1"/>
    <col min="3" max="3" width="15.28515625" style="33" customWidth="1"/>
    <col min="4" max="4" width="14" style="33" customWidth="1"/>
    <col min="5" max="5" width="10.85546875" style="104" customWidth="1"/>
    <col min="6" max="6" width="5" style="33" customWidth="1"/>
    <col min="7" max="7" width="0.28515625" style="33" customWidth="1"/>
    <col min="8" max="8" width="1.28515625" style="33" customWidth="1"/>
    <col min="9" max="9" width="3.140625" style="33" customWidth="1"/>
    <col min="10" max="10" width="7.7109375" style="33" customWidth="1"/>
    <col min="11" max="11" width="15.85546875" style="33" customWidth="1"/>
    <col min="12" max="12" width="10.85546875" style="104" customWidth="1"/>
    <col min="13" max="15" width="9.140625" style="33"/>
    <col min="16" max="16" width="4.42578125" style="33" customWidth="1"/>
    <col min="17" max="17" width="9.140625" style="33"/>
    <col min="18" max="18" width="11.5703125" style="33" customWidth="1"/>
    <col min="19" max="19" width="9.140625" style="104"/>
    <col min="20" max="16384" width="9.140625" style="33"/>
  </cols>
  <sheetData>
    <row r="3" spans="2:24">
      <c r="B3" s="423" t="s">
        <v>435</v>
      </c>
      <c r="C3" s="423"/>
      <c r="D3" s="423"/>
      <c r="E3" s="423"/>
      <c r="F3" s="423"/>
      <c r="G3" s="423"/>
      <c r="H3" s="423"/>
      <c r="I3" s="423"/>
      <c r="J3" s="423"/>
      <c r="P3" s="423" t="s">
        <v>435</v>
      </c>
      <c r="Q3" s="423"/>
      <c r="R3" s="423"/>
      <c r="S3" s="423"/>
      <c r="T3" s="423"/>
      <c r="U3" s="423"/>
      <c r="V3" s="423"/>
      <c r="W3" s="423"/>
      <c r="X3" s="423"/>
    </row>
    <row r="4" spans="2:24">
      <c r="B4" s="423"/>
      <c r="C4" s="423"/>
      <c r="D4" s="423"/>
      <c r="E4" s="423"/>
      <c r="F4" s="423"/>
      <c r="G4" s="423"/>
      <c r="H4" s="423"/>
      <c r="I4" s="423"/>
      <c r="J4" s="423"/>
      <c r="P4" s="423"/>
      <c r="Q4" s="423"/>
      <c r="R4" s="423"/>
      <c r="S4" s="423"/>
      <c r="T4" s="423"/>
      <c r="U4" s="423"/>
      <c r="V4" s="423"/>
      <c r="W4" s="423"/>
      <c r="X4" s="423"/>
    </row>
    <row r="5" spans="2:24">
      <c r="B5" s="423"/>
      <c r="C5" s="423"/>
      <c r="D5" s="423"/>
      <c r="E5" s="423"/>
      <c r="F5" s="423"/>
      <c r="G5" s="423"/>
      <c r="H5" s="423"/>
      <c r="I5" s="423"/>
      <c r="J5" s="423"/>
      <c r="P5" s="423"/>
      <c r="Q5" s="423"/>
      <c r="R5" s="423"/>
      <c r="S5" s="423"/>
      <c r="T5" s="423"/>
      <c r="U5" s="423"/>
      <c r="V5" s="423"/>
      <c r="W5" s="423"/>
      <c r="X5" s="423"/>
    </row>
    <row r="6" spans="2:24">
      <c r="B6" s="425" t="s">
        <v>618</v>
      </c>
      <c r="C6" s="425"/>
      <c r="D6" s="425"/>
      <c r="E6" s="425"/>
      <c r="F6" s="425"/>
      <c r="G6" s="425"/>
      <c r="H6" s="425"/>
      <c r="I6" s="425"/>
      <c r="J6" s="425"/>
      <c r="P6" s="425" t="s">
        <v>455</v>
      </c>
      <c r="Q6" s="425"/>
      <c r="R6" s="425"/>
      <c r="S6" s="425"/>
      <c r="T6" s="425"/>
      <c r="U6" s="425"/>
      <c r="V6" s="425"/>
      <c r="W6" s="425"/>
      <c r="X6" s="425"/>
    </row>
    <row r="7" spans="2:24">
      <c r="G7" s="262"/>
    </row>
    <row r="8" spans="2:24">
      <c r="B8" s="153" t="s">
        <v>436</v>
      </c>
      <c r="G8" s="262"/>
      <c r="I8" s="153" t="s">
        <v>437</v>
      </c>
      <c r="P8" s="33" t="s">
        <v>456</v>
      </c>
      <c r="S8" s="104">
        <v>3300000</v>
      </c>
    </row>
    <row r="9" spans="2:24">
      <c r="G9" s="262"/>
      <c r="P9" s="33" t="s">
        <v>457</v>
      </c>
      <c r="S9" s="104">
        <v>2072400</v>
      </c>
    </row>
    <row r="10" spans="2:24">
      <c r="G10" s="262"/>
      <c r="Q10" s="33" t="s">
        <v>458</v>
      </c>
      <c r="S10" s="104">
        <f>S8-S9</f>
        <v>1227600</v>
      </c>
    </row>
    <row r="11" spans="2:24">
      <c r="B11" s="33" t="s">
        <v>438</v>
      </c>
      <c r="E11" s="104">
        <v>17107200</v>
      </c>
      <c r="G11" s="262"/>
    </row>
    <row r="12" spans="2:24">
      <c r="B12" s="33" t="s">
        <v>439</v>
      </c>
      <c r="E12" s="251">
        <v>3300000</v>
      </c>
      <c r="G12" s="262"/>
      <c r="L12" s="33"/>
    </row>
    <row r="13" spans="2:24">
      <c r="E13" s="251">
        <f>SUM(E11:E12)</f>
        <v>20407200</v>
      </c>
      <c r="G13" s="262"/>
      <c r="I13" s="33" t="s">
        <v>113</v>
      </c>
      <c r="L13" s="250">
        <v>17107200</v>
      </c>
      <c r="P13" s="33" t="s">
        <v>415</v>
      </c>
    </row>
    <row r="14" spans="2:24">
      <c r="G14" s="262"/>
    </row>
    <row r="15" spans="2:24">
      <c r="B15" s="33" t="s">
        <v>440</v>
      </c>
      <c r="G15" s="262"/>
      <c r="I15" s="33" t="s">
        <v>440</v>
      </c>
      <c r="P15" s="33" t="s">
        <v>459</v>
      </c>
    </row>
    <row r="16" spans="2:24">
      <c r="C16" s="33" t="s">
        <v>288</v>
      </c>
      <c r="G16" s="262"/>
      <c r="J16" s="33" t="s">
        <v>288</v>
      </c>
    </row>
    <row r="17" spans="2:23">
      <c r="C17" s="33" t="s">
        <v>441</v>
      </c>
      <c r="E17" s="250">
        <f>138.16*72024</f>
        <v>9950835.8399999999</v>
      </c>
      <c r="G17" s="262"/>
      <c r="J17" s="33" t="s">
        <v>448</v>
      </c>
      <c r="L17" s="104">
        <v>7878436</v>
      </c>
    </row>
    <row r="18" spans="2:23">
      <c r="G18" s="262"/>
      <c r="L18" s="261"/>
      <c r="P18" s="33" t="s">
        <v>395</v>
      </c>
    </row>
    <row r="19" spans="2:23">
      <c r="C19" s="33" t="s">
        <v>442</v>
      </c>
      <c r="G19" s="262"/>
      <c r="J19" s="33" t="s">
        <v>449</v>
      </c>
      <c r="L19" s="104">
        <v>2622150</v>
      </c>
    </row>
    <row r="20" spans="2:23">
      <c r="C20" s="33" t="s">
        <v>443</v>
      </c>
      <c r="E20" s="104">
        <v>2622150</v>
      </c>
      <c r="G20" s="262"/>
      <c r="L20" s="261"/>
      <c r="P20" s="33" t="s">
        <v>90</v>
      </c>
      <c r="Q20" s="33" t="s">
        <v>460</v>
      </c>
    </row>
    <row r="21" spans="2:23">
      <c r="E21" s="261"/>
      <c r="G21" s="262"/>
      <c r="P21" s="33" t="s">
        <v>91</v>
      </c>
      <c r="Q21" s="33" t="s">
        <v>461</v>
      </c>
    </row>
    <row r="22" spans="2:23">
      <c r="C22" s="33" t="s">
        <v>15</v>
      </c>
      <c r="E22" s="250">
        <v>236813</v>
      </c>
      <c r="G22" s="262"/>
      <c r="J22" s="33" t="s">
        <v>15</v>
      </c>
      <c r="L22" s="250">
        <v>236813</v>
      </c>
      <c r="P22" s="33" t="s">
        <v>92</v>
      </c>
      <c r="Q22" s="33" t="s">
        <v>462</v>
      </c>
    </row>
    <row r="23" spans="2:23">
      <c r="G23" s="262"/>
      <c r="P23" s="33" t="s">
        <v>93</v>
      </c>
      <c r="Q23" s="33" t="s">
        <v>463</v>
      </c>
    </row>
    <row r="24" spans="2:23">
      <c r="B24" s="33" t="s">
        <v>444</v>
      </c>
      <c r="G24" s="262"/>
      <c r="I24" s="33" t="s">
        <v>450</v>
      </c>
    </row>
    <row r="25" spans="2:23">
      <c r="C25" s="33" t="s">
        <v>208</v>
      </c>
      <c r="E25" s="104">
        <v>6111225</v>
      </c>
      <c r="G25" s="262"/>
      <c r="J25" s="33" t="s">
        <v>208</v>
      </c>
      <c r="L25" s="250">
        <v>6111225</v>
      </c>
      <c r="W25" s="33" t="s">
        <v>466</v>
      </c>
    </row>
    <row r="26" spans="2:23">
      <c r="C26" s="33" t="s">
        <v>15</v>
      </c>
      <c r="E26" s="261">
        <v>687500</v>
      </c>
      <c r="G26" s="262"/>
      <c r="J26" s="33" t="s">
        <v>15</v>
      </c>
      <c r="L26" s="251">
        <v>687500</v>
      </c>
      <c r="P26" s="33" t="s">
        <v>464</v>
      </c>
      <c r="W26" s="33">
        <v>220</v>
      </c>
    </row>
    <row r="27" spans="2:23">
      <c r="C27" s="33" t="s">
        <v>445</v>
      </c>
      <c r="E27" s="251">
        <v>1889299</v>
      </c>
      <c r="G27" s="262"/>
      <c r="J27" s="33" t="s">
        <v>19</v>
      </c>
      <c r="L27" s="251">
        <v>1889299</v>
      </c>
      <c r="P27" s="33" t="s">
        <v>465</v>
      </c>
      <c r="W27" s="33">
        <v>-138.16</v>
      </c>
    </row>
    <row r="28" spans="2:23">
      <c r="G28" s="262"/>
      <c r="W28" s="33">
        <f>SUM(W26:W27)</f>
        <v>81.84</v>
      </c>
    </row>
    <row r="29" spans="2:23">
      <c r="D29" s="33" t="s">
        <v>446</v>
      </c>
      <c r="E29" s="250">
        <f>SUM(E17:E27)</f>
        <v>21497822.84</v>
      </c>
      <c r="G29" s="262"/>
      <c r="K29" s="33" t="s">
        <v>446</v>
      </c>
      <c r="L29" s="250">
        <f>SUM(L17:L27)</f>
        <v>19425423</v>
      </c>
    </row>
    <row r="30" spans="2:23">
      <c r="G30" s="262"/>
    </row>
    <row r="31" spans="2:23" ht="13.5" thickBot="1">
      <c r="D31" s="33" t="s">
        <v>451</v>
      </c>
      <c r="E31" s="265">
        <v>-1090623</v>
      </c>
      <c r="G31" s="262"/>
      <c r="K31" s="33" t="s">
        <v>452</v>
      </c>
      <c r="L31" s="265">
        <v>-2318223</v>
      </c>
    </row>
    <row r="32" spans="2:23" ht="14.25" thickTop="1" thickBot="1">
      <c r="D32" s="120"/>
      <c r="E32" s="263"/>
      <c r="F32" s="120"/>
      <c r="G32" s="264"/>
      <c r="H32" s="120"/>
      <c r="I32" s="120"/>
      <c r="J32" s="120"/>
      <c r="K32" s="120"/>
      <c r="L32" s="118"/>
    </row>
    <row r="33" spans="2:12">
      <c r="E33" s="426" t="s">
        <v>454</v>
      </c>
      <c r="F33" s="426"/>
      <c r="G33" s="426"/>
      <c r="H33" s="426"/>
      <c r="I33" s="426"/>
      <c r="J33" s="426"/>
    </row>
    <row r="36" spans="2:12" ht="13.5" thickBot="1">
      <c r="L36" s="265"/>
    </row>
    <row r="37" spans="2:12" ht="13.5" thickTop="1"/>
    <row r="38" spans="2:12">
      <c r="B38" s="423" t="s">
        <v>435</v>
      </c>
      <c r="C38" s="423"/>
      <c r="D38" s="423"/>
      <c r="E38" s="423"/>
      <c r="F38" s="423"/>
      <c r="G38" s="423"/>
      <c r="H38" s="423"/>
      <c r="I38" s="423"/>
      <c r="J38" s="423"/>
    </row>
    <row r="39" spans="2:12">
      <c r="B39" s="423"/>
      <c r="C39" s="423"/>
      <c r="D39" s="423"/>
      <c r="E39" s="423"/>
      <c r="F39" s="423"/>
      <c r="G39" s="423"/>
      <c r="H39" s="423"/>
      <c r="I39" s="423"/>
      <c r="J39" s="423"/>
    </row>
    <row r="40" spans="2:12">
      <c r="B40" s="423"/>
      <c r="C40" s="423"/>
      <c r="D40" s="423"/>
      <c r="E40" s="423"/>
      <c r="F40" s="423"/>
      <c r="G40" s="423"/>
      <c r="H40" s="423"/>
      <c r="I40" s="423"/>
      <c r="J40" s="423"/>
    </row>
    <row r="41" spans="2:12">
      <c r="B41" s="425" t="s">
        <v>619</v>
      </c>
      <c r="C41" s="425"/>
      <c r="D41" s="425"/>
      <c r="E41" s="425"/>
      <c r="F41" s="425"/>
      <c r="G41" s="425"/>
      <c r="H41" s="425"/>
      <c r="I41" s="425"/>
      <c r="J41" s="425"/>
    </row>
    <row r="42" spans="2:12">
      <c r="G42" s="262"/>
    </row>
    <row r="43" spans="2:12">
      <c r="B43" s="153" t="s">
        <v>436</v>
      </c>
      <c r="G43" s="262"/>
      <c r="I43" s="153" t="s">
        <v>437</v>
      </c>
    </row>
    <row r="44" spans="2:12">
      <c r="G44" s="262"/>
    </row>
    <row r="45" spans="2:12">
      <c r="G45" s="262"/>
    </row>
    <row r="46" spans="2:12">
      <c r="B46" s="33" t="s">
        <v>438</v>
      </c>
      <c r="E46" s="104">
        <v>17107200</v>
      </c>
      <c r="G46" s="262"/>
    </row>
    <row r="47" spans="2:12">
      <c r="B47" s="33" t="s">
        <v>439</v>
      </c>
      <c r="E47" s="251">
        <v>3300000</v>
      </c>
      <c r="G47" s="262"/>
      <c r="L47" s="33"/>
    </row>
    <row r="48" spans="2:12">
      <c r="E48" s="251">
        <f>SUM(E46:E47)</f>
        <v>20407200</v>
      </c>
      <c r="G48" s="262"/>
      <c r="I48" s="33" t="s">
        <v>113</v>
      </c>
      <c r="L48" s="250">
        <v>17107200</v>
      </c>
    </row>
    <row r="49" spans="2:12">
      <c r="G49" s="262"/>
    </row>
    <row r="50" spans="2:12">
      <c r="B50" s="33" t="s">
        <v>440</v>
      </c>
      <c r="G50" s="262"/>
      <c r="I50" s="33" t="s">
        <v>440</v>
      </c>
    </row>
    <row r="51" spans="2:12">
      <c r="C51" s="33" t="s">
        <v>288</v>
      </c>
      <c r="G51" s="262"/>
      <c r="J51" s="33" t="s">
        <v>288</v>
      </c>
    </row>
    <row r="52" spans="2:12">
      <c r="C52" s="33" t="s">
        <v>620</v>
      </c>
      <c r="E52" s="250">
        <f>202.5*72024</f>
        <v>14584860</v>
      </c>
      <c r="G52" s="262"/>
      <c r="J52" s="33" t="s">
        <v>621</v>
      </c>
      <c r="L52" s="104">
        <f>202.5*57024</f>
        <v>11547360</v>
      </c>
    </row>
    <row r="53" spans="2:12">
      <c r="G53" s="262"/>
      <c r="L53" s="261"/>
    </row>
    <row r="54" spans="2:12">
      <c r="C54" s="33" t="s">
        <v>442</v>
      </c>
      <c r="G54" s="262"/>
      <c r="J54" s="33" t="s">
        <v>449</v>
      </c>
      <c r="L54" s="104">
        <v>2622150</v>
      </c>
    </row>
    <row r="55" spans="2:12">
      <c r="C55" s="33" t="s">
        <v>443</v>
      </c>
      <c r="E55" s="104">
        <v>2622150</v>
      </c>
      <c r="G55" s="262"/>
      <c r="L55" s="261"/>
    </row>
    <row r="56" spans="2:12">
      <c r="E56" s="261"/>
      <c r="G56" s="262"/>
    </row>
    <row r="57" spans="2:12">
      <c r="C57" s="33" t="s">
        <v>15</v>
      </c>
      <c r="E57" s="250">
        <v>236813</v>
      </c>
      <c r="G57" s="262"/>
      <c r="J57" s="33" t="s">
        <v>15</v>
      </c>
      <c r="L57" s="250">
        <v>236813</v>
      </c>
    </row>
    <row r="58" spans="2:12">
      <c r="G58" s="262"/>
    </row>
    <row r="59" spans="2:12">
      <c r="B59" s="33" t="s">
        <v>444</v>
      </c>
      <c r="G59" s="262"/>
      <c r="I59" s="33" t="s">
        <v>450</v>
      </c>
    </row>
    <row r="60" spans="2:12">
      <c r="C60" s="33" t="s">
        <v>208</v>
      </c>
      <c r="E60" s="104">
        <v>6111225</v>
      </c>
      <c r="G60" s="262"/>
      <c r="J60" s="33" t="s">
        <v>208</v>
      </c>
      <c r="L60" s="250">
        <v>6111225</v>
      </c>
    </row>
    <row r="61" spans="2:12">
      <c r="C61" s="33" t="s">
        <v>15</v>
      </c>
      <c r="E61" s="261">
        <v>687500</v>
      </c>
      <c r="G61" s="262"/>
      <c r="J61" s="33" t="s">
        <v>15</v>
      </c>
      <c r="L61" s="251">
        <v>687500</v>
      </c>
    </row>
    <row r="62" spans="2:12">
      <c r="C62" s="33" t="s">
        <v>445</v>
      </c>
      <c r="E62" s="251">
        <v>1889299</v>
      </c>
      <c r="G62" s="262"/>
      <c r="J62" s="33" t="s">
        <v>19</v>
      </c>
      <c r="L62" s="251">
        <v>1889299</v>
      </c>
    </row>
    <row r="63" spans="2:12">
      <c r="G63" s="262"/>
    </row>
    <row r="64" spans="2:12">
      <c r="D64" s="33" t="s">
        <v>446</v>
      </c>
      <c r="E64" s="250">
        <f>SUM(E52:E62)</f>
        <v>26131847</v>
      </c>
      <c r="G64" s="262"/>
      <c r="K64" s="33" t="s">
        <v>446</v>
      </c>
      <c r="L64" s="250">
        <f>SUM(L52:L62)</f>
        <v>23094347</v>
      </c>
    </row>
    <row r="65" spans="4:12">
      <c r="G65" s="262"/>
    </row>
    <row r="66" spans="4:12" ht="13.5" thickBot="1">
      <c r="D66" s="33" t="s">
        <v>451</v>
      </c>
      <c r="E66" s="265" t="s">
        <v>447</v>
      </c>
      <c r="G66" s="262"/>
      <c r="K66" s="33" t="s">
        <v>452</v>
      </c>
      <c r="L66" s="265" t="s">
        <v>453</v>
      </c>
    </row>
    <row r="67" spans="4:12" ht="14.25" thickTop="1" thickBot="1">
      <c r="D67" s="120"/>
      <c r="E67" s="263"/>
      <c r="F67" s="120"/>
      <c r="G67" s="264"/>
      <c r="H67" s="120"/>
      <c r="I67" s="120"/>
      <c r="J67" s="120"/>
      <c r="K67" s="120"/>
      <c r="L67" s="118"/>
    </row>
    <row r="68" spans="4:12">
      <c r="E68" s="426" t="s">
        <v>454</v>
      </c>
      <c r="F68" s="426"/>
      <c r="G68" s="426"/>
      <c r="H68" s="426"/>
      <c r="I68" s="426"/>
      <c r="J68" s="426"/>
    </row>
  </sheetData>
  <mergeCells count="8">
    <mergeCell ref="P3:X5"/>
    <mergeCell ref="P6:X6"/>
    <mergeCell ref="B38:J40"/>
    <mergeCell ref="B41:J41"/>
    <mergeCell ref="E68:J68"/>
    <mergeCell ref="B3:J5"/>
    <mergeCell ref="B6:J6"/>
    <mergeCell ref="E33:J33"/>
  </mergeCells>
  <pageMargins left="0.7" right="0.7" top="0.75" bottom="0.75" header="0.3" footer="0.3"/>
  <pageSetup scale="12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3:V31"/>
  <sheetViews>
    <sheetView topLeftCell="E1" workbookViewId="0">
      <selection activeCell="B3" sqref="B3:J22"/>
    </sheetView>
  </sheetViews>
  <sheetFormatPr defaultRowHeight="12.75"/>
  <cols>
    <col min="1" max="1" width="9.140625" style="33"/>
    <col min="2" max="2" width="12.7109375" style="33" customWidth="1"/>
    <col min="3" max="3" width="9.140625" style="33"/>
    <col min="4" max="4" width="18" style="33" customWidth="1"/>
    <col min="5" max="5" width="1.85546875" style="33" customWidth="1"/>
    <col min="6" max="6" width="14.140625" style="33" customWidth="1"/>
    <col min="7" max="7" width="2" style="33" customWidth="1"/>
    <col min="8" max="13" width="9.140625" style="33"/>
    <col min="14" max="14" width="1.28515625" style="33" customWidth="1"/>
    <col min="15" max="15" width="11.85546875" style="33" customWidth="1"/>
    <col min="16" max="16" width="22.140625" style="33" customWidth="1"/>
    <col min="17" max="17" width="14" style="33" bestFit="1" customWidth="1"/>
    <col min="18" max="18" width="9.140625" style="33"/>
    <col min="19" max="19" width="8.7109375" style="33" customWidth="1"/>
    <col min="20" max="16384" width="9.140625" style="33"/>
  </cols>
  <sheetData>
    <row r="3" spans="2:22" ht="15.75">
      <c r="B3" s="40" t="s">
        <v>467</v>
      </c>
      <c r="M3" s="40" t="s">
        <v>467</v>
      </c>
      <c r="N3" s="40"/>
    </row>
    <row r="4" spans="2:22">
      <c r="B4" s="33" t="s">
        <v>468</v>
      </c>
      <c r="M4" s="33" t="s">
        <v>492</v>
      </c>
    </row>
    <row r="6" spans="2:22">
      <c r="C6" s="170"/>
      <c r="D6" s="269" t="s">
        <v>481</v>
      </c>
      <c r="E6" s="269"/>
      <c r="F6" s="170"/>
      <c r="G6" s="170"/>
      <c r="H6" s="170"/>
      <c r="I6" s="170"/>
      <c r="M6" s="170" t="s">
        <v>136</v>
      </c>
      <c r="N6" s="170"/>
      <c r="O6" s="170"/>
      <c r="P6" s="275">
        <v>60000</v>
      </c>
      <c r="Q6" s="170"/>
      <c r="R6" s="267"/>
      <c r="S6" s="170"/>
      <c r="T6" s="170"/>
      <c r="U6" s="170"/>
      <c r="V6" s="170"/>
    </row>
    <row r="7" spans="2:22">
      <c r="C7" s="170"/>
      <c r="D7" s="270" t="s">
        <v>482</v>
      </c>
      <c r="E7" s="269"/>
      <c r="F7" s="170" t="s">
        <v>483</v>
      </c>
      <c r="G7" s="170"/>
      <c r="H7" s="170"/>
      <c r="I7" s="170"/>
      <c r="M7" s="170" t="s">
        <v>493</v>
      </c>
      <c r="N7" s="170"/>
      <c r="O7" s="170"/>
      <c r="P7" s="276">
        <v>57024</v>
      </c>
      <c r="Q7" s="170"/>
      <c r="R7" s="170"/>
      <c r="S7" s="170"/>
      <c r="T7" s="170"/>
      <c r="U7" s="170"/>
      <c r="V7" s="170"/>
    </row>
    <row r="8" spans="2:22">
      <c r="C8" s="170"/>
      <c r="D8" s="269" t="s">
        <v>484</v>
      </c>
      <c r="E8" s="269"/>
      <c r="F8" s="170"/>
      <c r="G8" s="170"/>
      <c r="H8" s="170"/>
      <c r="I8" s="170"/>
      <c r="L8" s="273"/>
      <c r="M8" s="272"/>
      <c r="N8" s="272"/>
      <c r="O8" s="272"/>
      <c r="P8" s="104">
        <f>P6-P7</f>
        <v>2976</v>
      </c>
      <c r="Q8" s="170"/>
      <c r="R8" s="170"/>
      <c r="S8" s="170"/>
      <c r="T8" s="170"/>
      <c r="U8" s="170"/>
      <c r="V8" s="170"/>
    </row>
    <row r="9" spans="2:22">
      <c r="C9" s="170"/>
      <c r="D9" s="269" t="s">
        <v>485</v>
      </c>
      <c r="E9" s="269"/>
      <c r="F9" s="170"/>
      <c r="G9" s="170"/>
      <c r="H9" s="170"/>
      <c r="I9" s="170"/>
      <c r="L9" s="273"/>
      <c r="M9" s="274"/>
      <c r="N9" s="274"/>
      <c r="O9" s="274"/>
      <c r="P9" s="170"/>
      <c r="Q9" s="170"/>
      <c r="R9" s="170"/>
      <c r="S9" s="170"/>
      <c r="T9" s="170"/>
      <c r="U9" s="170"/>
      <c r="V9" s="170"/>
    </row>
    <row r="10" spans="2:22">
      <c r="B10" s="266" t="s">
        <v>469</v>
      </c>
      <c r="C10" s="170"/>
      <c r="D10" s="270" t="s">
        <v>486</v>
      </c>
      <c r="E10" s="269"/>
      <c r="F10" s="170"/>
      <c r="G10" s="170"/>
      <c r="H10" s="170"/>
      <c r="I10" s="170"/>
      <c r="O10" s="170" t="s">
        <v>494</v>
      </c>
      <c r="P10" s="170"/>
      <c r="Q10" s="278">
        <v>1267200</v>
      </c>
      <c r="R10" s="170" t="s">
        <v>495</v>
      </c>
      <c r="S10" s="170"/>
      <c r="T10" s="170"/>
      <c r="U10" s="170"/>
      <c r="V10" s="170"/>
    </row>
    <row r="11" spans="2:22">
      <c r="B11" s="266" t="s">
        <v>470</v>
      </c>
      <c r="C11" s="170"/>
      <c r="D11" s="269"/>
      <c r="E11" s="269"/>
      <c r="F11" s="272"/>
      <c r="G11" s="271"/>
      <c r="H11" s="170"/>
      <c r="I11" s="170"/>
      <c r="M11" s="170"/>
      <c r="N11" s="170"/>
      <c r="O11" s="170" t="s">
        <v>496</v>
      </c>
      <c r="P11" s="199" t="s">
        <v>498</v>
      </c>
      <c r="Q11" s="279">
        <v>1393920</v>
      </c>
      <c r="R11" s="170" t="s">
        <v>499</v>
      </c>
      <c r="S11" s="104">
        <v>633600</v>
      </c>
      <c r="T11" s="170"/>
      <c r="U11" s="170"/>
      <c r="V11" s="170"/>
    </row>
    <row r="12" spans="2:22">
      <c r="B12" s="266" t="s">
        <v>471</v>
      </c>
      <c r="C12" s="170"/>
      <c r="D12" s="269" t="s">
        <v>491</v>
      </c>
      <c r="E12" s="269"/>
      <c r="F12" s="272"/>
      <c r="G12" s="170"/>
      <c r="I12" s="170"/>
      <c r="M12" s="170"/>
      <c r="N12" s="170"/>
      <c r="O12" s="170"/>
      <c r="P12" s="199" t="s">
        <v>500</v>
      </c>
      <c r="Q12" s="278">
        <f>SUM(Q10:Q11)</f>
        <v>2661120</v>
      </c>
      <c r="R12" s="170"/>
      <c r="S12" s="250">
        <v>760320</v>
      </c>
      <c r="T12" s="170"/>
      <c r="U12" s="170"/>
      <c r="V12" s="170"/>
    </row>
    <row r="13" spans="2:22">
      <c r="B13" s="266"/>
      <c r="C13" s="170"/>
      <c r="D13" s="270" t="s">
        <v>487</v>
      </c>
      <c r="E13" s="269"/>
      <c r="F13" s="272"/>
      <c r="I13" s="170"/>
      <c r="M13" s="170"/>
      <c r="N13" s="170"/>
      <c r="O13" s="170"/>
      <c r="P13" s="170"/>
      <c r="Q13" s="170"/>
      <c r="R13" s="170"/>
      <c r="S13" s="258" t="s">
        <v>497</v>
      </c>
      <c r="T13" s="258"/>
      <c r="U13" s="170"/>
      <c r="V13" s="170"/>
    </row>
    <row r="14" spans="2:22">
      <c r="B14" s="266" t="s">
        <v>472</v>
      </c>
      <c r="C14" s="170"/>
      <c r="D14" s="269"/>
      <c r="E14" s="269"/>
      <c r="F14" s="267"/>
      <c r="G14" s="170"/>
      <c r="H14" s="170"/>
      <c r="I14" s="170"/>
      <c r="M14" s="170" t="s">
        <v>501</v>
      </c>
      <c r="N14" s="170"/>
      <c r="O14" s="170"/>
      <c r="P14" s="170"/>
      <c r="Q14" s="170"/>
      <c r="R14" s="170"/>
      <c r="S14" s="170"/>
      <c r="T14" s="170"/>
      <c r="U14" s="170"/>
      <c r="V14" s="170"/>
    </row>
    <row r="15" spans="2:22">
      <c r="B15" s="266" t="s">
        <v>473</v>
      </c>
      <c r="C15" s="170"/>
      <c r="D15" s="269" t="s">
        <v>488</v>
      </c>
      <c r="E15" s="269"/>
      <c r="F15" s="170" t="s">
        <v>489</v>
      </c>
      <c r="G15" s="170"/>
      <c r="H15" s="170"/>
      <c r="I15" s="170"/>
      <c r="M15" s="170"/>
      <c r="N15" s="170"/>
      <c r="O15" s="280">
        <v>2976</v>
      </c>
      <c r="P15" s="170"/>
      <c r="Q15" s="170"/>
      <c r="R15" s="170"/>
      <c r="S15" s="104"/>
      <c r="T15" s="170"/>
      <c r="U15" s="170"/>
      <c r="V15" s="170"/>
    </row>
    <row r="16" spans="2:22" ht="13.5" thickBot="1">
      <c r="B16" s="267"/>
      <c r="C16" s="258"/>
      <c r="D16" s="258"/>
      <c r="E16" s="258"/>
      <c r="F16" s="258"/>
      <c r="G16" s="258"/>
      <c r="H16" s="258"/>
      <c r="I16" s="258"/>
      <c r="J16" s="35"/>
      <c r="M16" s="170"/>
      <c r="N16" s="170"/>
      <c r="O16" s="200" t="s">
        <v>502</v>
      </c>
      <c r="P16" s="170"/>
      <c r="Q16" s="170"/>
      <c r="R16" s="170"/>
      <c r="T16" s="170"/>
      <c r="U16" s="170"/>
      <c r="V16" s="170"/>
    </row>
    <row r="17" spans="2:22" ht="13.5" thickBot="1">
      <c r="B17" s="170"/>
      <c r="C17" s="170"/>
      <c r="D17" s="170"/>
      <c r="E17" s="170"/>
      <c r="F17" s="170"/>
      <c r="G17" s="170"/>
      <c r="H17" s="170"/>
      <c r="I17" s="170"/>
      <c r="M17" s="170"/>
      <c r="N17" s="170"/>
      <c r="O17" s="170" t="s">
        <v>504</v>
      </c>
      <c r="Q17" s="282">
        <v>99204</v>
      </c>
      <c r="R17" s="283" t="s">
        <v>503</v>
      </c>
      <c r="T17" s="170"/>
      <c r="U17" s="170"/>
      <c r="V17" s="170"/>
    </row>
    <row r="18" spans="2:22">
      <c r="B18" s="170" t="s">
        <v>474</v>
      </c>
      <c r="C18" s="170"/>
      <c r="D18" s="170"/>
      <c r="E18" s="170"/>
      <c r="F18" s="199" t="s">
        <v>475</v>
      </c>
      <c r="G18" s="199"/>
      <c r="H18" s="33" t="s">
        <v>490</v>
      </c>
      <c r="M18" s="170"/>
      <c r="N18" s="170"/>
      <c r="O18" s="170"/>
      <c r="P18" s="170"/>
      <c r="Q18" s="170"/>
      <c r="R18" s="170"/>
      <c r="S18" s="170"/>
      <c r="T18" s="170"/>
      <c r="U18" s="170"/>
      <c r="V18" s="170"/>
    </row>
    <row r="19" spans="2:22">
      <c r="B19" s="170"/>
      <c r="C19" s="170"/>
      <c r="D19" s="170"/>
      <c r="E19" s="170"/>
      <c r="F19" s="200" t="s">
        <v>476</v>
      </c>
      <c r="G19" s="199"/>
      <c r="M19" s="170"/>
      <c r="N19" s="170"/>
      <c r="O19" s="170"/>
      <c r="P19" s="170"/>
      <c r="Q19" s="281">
        <f>SUM(Q12,Q17)</f>
        <v>2760324</v>
      </c>
      <c r="R19" s="170"/>
      <c r="S19" s="170"/>
      <c r="T19" s="170"/>
      <c r="U19" s="170"/>
      <c r="V19" s="170"/>
    </row>
    <row r="20" spans="2:22">
      <c r="B20" s="170"/>
      <c r="C20" s="170"/>
      <c r="D20" s="170"/>
      <c r="E20" s="170"/>
      <c r="F20" s="199" t="s">
        <v>477</v>
      </c>
      <c r="G20" s="199"/>
      <c r="H20" s="33" t="s">
        <v>478</v>
      </c>
      <c r="M20" s="170"/>
      <c r="N20" s="170"/>
      <c r="O20" s="170"/>
      <c r="P20" s="170"/>
      <c r="Q20" s="170"/>
      <c r="R20" s="170"/>
      <c r="S20" s="170"/>
      <c r="T20" s="170"/>
      <c r="U20" s="170"/>
      <c r="V20" s="170"/>
    </row>
    <row r="21" spans="2:22">
      <c r="B21" s="170"/>
      <c r="C21" s="170"/>
      <c r="D21" s="170"/>
      <c r="E21" s="170"/>
      <c r="F21" s="200" t="s">
        <v>479</v>
      </c>
      <c r="G21" s="199"/>
      <c r="H21" s="33" t="s">
        <v>146</v>
      </c>
      <c r="M21" s="276">
        <v>2760324</v>
      </c>
      <c r="N21" s="280"/>
      <c r="O21" s="170" t="s">
        <v>505</v>
      </c>
      <c r="Q21" s="170"/>
      <c r="R21" s="170"/>
      <c r="S21" s="170"/>
      <c r="T21" s="170"/>
      <c r="U21" s="170"/>
      <c r="V21" s="170"/>
    </row>
    <row r="22" spans="2:22">
      <c r="B22" s="170"/>
      <c r="C22" s="170"/>
      <c r="D22" s="170"/>
      <c r="E22" s="170"/>
      <c r="F22" s="199" t="s">
        <v>480</v>
      </c>
      <c r="G22" s="199"/>
      <c r="M22" s="275">
        <v>60000</v>
      </c>
      <c r="N22" s="275"/>
      <c r="Q22" s="170"/>
      <c r="R22" s="170"/>
      <c r="S22" s="170"/>
      <c r="T22" s="170"/>
      <c r="U22" s="170"/>
      <c r="V22" s="170"/>
    </row>
    <row r="23" spans="2:22">
      <c r="B23" s="170"/>
      <c r="C23" s="170"/>
      <c r="D23" s="170"/>
      <c r="E23" s="170"/>
      <c r="F23" s="170"/>
      <c r="G23" s="170"/>
      <c r="H23" s="170"/>
      <c r="I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</row>
    <row r="24" spans="2:22">
      <c r="B24" s="170"/>
      <c r="C24" s="170"/>
      <c r="D24" s="170"/>
      <c r="E24" s="170"/>
      <c r="F24" s="170"/>
      <c r="G24" s="170"/>
      <c r="H24" s="170"/>
      <c r="I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</row>
    <row r="25" spans="2:22">
      <c r="B25" s="170"/>
      <c r="C25" s="170"/>
      <c r="D25" s="170"/>
      <c r="E25" s="170"/>
      <c r="F25" s="170"/>
      <c r="G25" s="170"/>
      <c r="H25" s="170"/>
      <c r="I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</row>
    <row r="26" spans="2:22">
      <c r="B26" s="170"/>
      <c r="C26" s="170"/>
      <c r="D26" s="170"/>
      <c r="E26" s="170"/>
      <c r="F26" s="170"/>
      <c r="G26" s="170"/>
      <c r="H26" s="170"/>
      <c r="I26" s="170"/>
    </row>
    <row r="27" spans="2:22">
      <c r="B27" s="170"/>
      <c r="C27" s="170"/>
      <c r="D27" s="170"/>
      <c r="E27" s="170"/>
      <c r="F27" s="170"/>
      <c r="G27" s="170"/>
      <c r="H27" s="170"/>
      <c r="I27" s="170"/>
    </row>
    <row r="28" spans="2:22">
      <c r="B28" s="170"/>
      <c r="C28" s="170"/>
      <c r="D28" s="170"/>
      <c r="E28" s="170"/>
      <c r="F28" s="170"/>
      <c r="G28" s="170"/>
      <c r="H28" s="170"/>
      <c r="I28" s="170"/>
    </row>
    <row r="29" spans="2:22">
      <c r="B29" s="170"/>
      <c r="C29" s="170"/>
      <c r="D29" s="170"/>
      <c r="E29" s="170"/>
      <c r="F29" s="170"/>
      <c r="G29" s="170"/>
      <c r="H29" s="170"/>
      <c r="I29" s="170"/>
    </row>
    <row r="30" spans="2:22">
      <c r="B30" s="170"/>
      <c r="C30" s="170"/>
      <c r="D30" s="170"/>
      <c r="E30" s="170"/>
      <c r="F30" s="170"/>
      <c r="G30" s="170"/>
      <c r="H30" s="170"/>
      <c r="I30" s="170"/>
    </row>
    <row r="31" spans="2:22">
      <c r="B31" s="170"/>
      <c r="C31" s="170"/>
      <c r="D31" s="170"/>
      <c r="E31" s="170"/>
      <c r="F31" s="170"/>
      <c r="G31" s="170"/>
      <c r="H31" s="170"/>
      <c r="I31" s="170"/>
    </row>
  </sheetData>
  <pageMargins left="0.7" right="0.7" top="0.75" bottom="0.75" header="0.3" footer="0.3"/>
  <pageSetup scale="13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2:U41"/>
  <sheetViews>
    <sheetView workbookViewId="0">
      <selection activeCell="B3" sqref="B3:J43"/>
    </sheetView>
  </sheetViews>
  <sheetFormatPr defaultRowHeight="12.75"/>
  <cols>
    <col min="1" max="1" width="9.140625" style="33"/>
    <col min="2" max="2" width="17.7109375" style="33" customWidth="1"/>
    <col min="3" max="3" width="5" style="33" customWidth="1"/>
    <col min="4" max="4" width="9.140625" style="33"/>
    <col min="5" max="5" width="3.28515625" style="33" customWidth="1"/>
    <col min="6" max="6" width="5.140625" style="33" customWidth="1"/>
    <col min="7" max="7" width="9.140625" style="33"/>
    <col min="8" max="8" width="2.85546875" style="33" customWidth="1"/>
    <col min="9" max="9" width="5.140625" style="33" customWidth="1"/>
    <col min="10" max="15" width="9.140625" style="33"/>
    <col min="16" max="16" width="10.28515625" style="33" customWidth="1"/>
    <col min="17" max="18" width="9.140625" style="33"/>
    <col min="19" max="19" width="10.28515625" style="33" bestFit="1" customWidth="1"/>
    <col min="20" max="20" width="3.28515625" style="33" customWidth="1"/>
    <col min="21" max="16384" width="9.140625" style="33"/>
  </cols>
  <sheetData>
    <row r="2" spans="2:21" ht="15.75" customHeight="1">
      <c r="N2" s="428" t="s">
        <v>506</v>
      </c>
      <c r="O2" s="428"/>
      <c r="P2" s="428"/>
      <c r="Q2" s="428"/>
      <c r="R2" s="428"/>
      <c r="S2" s="428"/>
      <c r="T2" s="428"/>
      <c r="U2" s="428"/>
    </row>
    <row r="3" spans="2:21" ht="14.25" customHeight="1">
      <c r="B3" s="427" t="s">
        <v>506</v>
      </c>
      <c r="C3" s="427"/>
      <c r="D3" s="427"/>
      <c r="E3" s="427"/>
      <c r="F3" s="427"/>
      <c r="G3" s="427"/>
      <c r="N3" s="428"/>
      <c r="O3" s="428"/>
      <c r="P3" s="428"/>
      <c r="Q3" s="428"/>
      <c r="R3" s="428"/>
      <c r="S3" s="428"/>
      <c r="T3" s="428"/>
      <c r="U3" s="428"/>
    </row>
    <row r="4" spans="2:21" ht="15.75">
      <c r="B4" s="427"/>
      <c r="C4" s="427"/>
      <c r="D4" s="427"/>
      <c r="E4" s="427"/>
      <c r="F4" s="427"/>
      <c r="G4" s="427"/>
      <c r="N4" s="345"/>
      <c r="O4" s="345"/>
      <c r="P4" s="345"/>
      <c r="Q4" s="345"/>
      <c r="R4" s="345"/>
      <c r="S4" s="345"/>
      <c r="T4" s="345"/>
      <c r="U4" s="345"/>
    </row>
    <row r="5" spans="2:21" ht="12.75" customHeight="1">
      <c r="B5" s="433" t="s">
        <v>516</v>
      </c>
      <c r="C5" s="433"/>
      <c r="D5" s="433"/>
      <c r="E5" s="433"/>
      <c r="F5" s="433"/>
      <c r="G5" s="433"/>
      <c r="H5" s="433"/>
      <c r="I5" s="433"/>
      <c r="J5" s="433"/>
      <c r="N5" s="434" t="s">
        <v>522</v>
      </c>
      <c r="O5" s="434"/>
      <c r="P5" s="434"/>
      <c r="Q5" s="434"/>
      <c r="R5" s="434"/>
      <c r="S5" s="434"/>
      <c r="T5" s="434"/>
      <c r="U5" s="434"/>
    </row>
    <row r="6" spans="2:21">
      <c r="B6" s="433"/>
      <c r="C6" s="433"/>
      <c r="D6" s="433"/>
      <c r="E6" s="433"/>
      <c r="F6" s="433"/>
      <c r="G6" s="433"/>
      <c r="H6" s="433"/>
      <c r="I6" s="433"/>
      <c r="J6" s="433"/>
      <c r="N6" s="434"/>
      <c r="O6" s="434"/>
      <c r="P6" s="434"/>
      <c r="Q6" s="434"/>
      <c r="R6" s="434"/>
      <c r="S6" s="434"/>
      <c r="T6" s="434"/>
      <c r="U6" s="434"/>
    </row>
    <row r="7" spans="2:21">
      <c r="B7" s="152" t="s">
        <v>630</v>
      </c>
      <c r="N7" s="434"/>
      <c r="O7" s="434"/>
      <c r="P7" s="434"/>
      <c r="Q7" s="434"/>
      <c r="R7" s="434"/>
      <c r="S7" s="434"/>
      <c r="T7" s="434"/>
      <c r="U7" s="434"/>
    </row>
    <row r="8" spans="2:21">
      <c r="D8" s="151" t="s">
        <v>90</v>
      </c>
      <c r="E8" s="151"/>
      <c r="F8" s="151"/>
      <c r="G8" s="151" t="s">
        <v>91</v>
      </c>
      <c r="H8" s="151"/>
      <c r="I8" s="151"/>
      <c r="J8" s="151" t="s">
        <v>92</v>
      </c>
    </row>
    <row r="9" spans="2:21">
      <c r="D9" s="122"/>
      <c r="E9" s="122"/>
      <c r="F9" s="122"/>
      <c r="G9" s="122"/>
      <c r="H9" s="122"/>
      <c r="I9" s="122"/>
      <c r="J9" s="122"/>
      <c r="P9" s="122" t="s">
        <v>90</v>
      </c>
      <c r="Q9" s="103" t="s">
        <v>91</v>
      </c>
      <c r="R9" s="122" t="s">
        <v>92</v>
      </c>
    </row>
    <row r="10" spans="2:21">
      <c r="B10" s="33" t="s">
        <v>80</v>
      </c>
      <c r="D10" s="286">
        <v>16</v>
      </c>
      <c r="E10" s="286"/>
      <c r="F10" s="286"/>
      <c r="G10" s="286">
        <v>10</v>
      </c>
      <c r="H10" s="286"/>
      <c r="I10" s="286"/>
      <c r="J10" s="286">
        <v>12</v>
      </c>
      <c r="N10" s="33" t="s">
        <v>523</v>
      </c>
      <c r="P10" s="104">
        <v>3225</v>
      </c>
      <c r="Q10" s="104">
        <v>3950</v>
      </c>
      <c r="R10" s="104">
        <v>3657</v>
      </c>
      <c r="U10" s="37"/>
    </row>
    <row r="11" spans="2:21">
      <c r="N11" s="35" t="s">
        <v>524</v>
      </c>
      <c r="O11" s="35"/>
      <c r="P11" s="250">
        <v>260000</v>
      </c>
      <c r="Q11" s="250">
        <v>260000</v>
      </c>
      <c r="R11" s="250">
        <v>260000</v>
      </c>
      <c r="S11" s="35"/>
      <c r="T11" s="35"/>
      <c r="U11" s="37"/>
    </row>
    <row r="12" spans="2:21">
      <c r="B12" s="33" t="s">
        <v>507</v>
      </c>
      <c r="C12" s="33">
        <v>0.2</v>
      </c>
      <c r="D12" s="200" t="s">
        <v>508</v>
      </c>
      <c r="E12" s="170"/>
      <c r="F12" s="33">
        <v>0.1</v>
      </c>
      <c r="G12" s="200" t="s">
        <v>509</v>
      </c>
      <c r="I12" s="33">
        <v>0.1</v>
      </c>
      <c r="J12" s="200" t="s">
        <v>509</v>
      </c>
      <c r="U12" s="37"/>
    </row>
    <row r="13" spans="2:21">
      <c r="D13" s="249">
        <f>16*0.8</f>
        <v>12.8</v>
      </c>
      <c r="E13" s="249"/>
      <c r="F13" s="249"/>
      <c r="G13" s="249">
        <f>10*0.9</f>
        <v>9</v>
      </c>
      <c r="H13" s="249"/>
      <c r="I13" s="249"/>
      <c r="J13" s="249">
        <f>12*0.9</f>
        <v>10.8</v>
      </c>
      <c r="N13" s="122" t="s">
        <v>90</v>
      </c>
      <c r="O13" s="287">
        <v>260000</v>
      </c>
      <c r="P13" s="429" t="s">
        <v>527</v>
      </c>
      <c r="Q13" s="429" t="s">
        <v>525</v>
      </c>
      <c r="R13" s="429"/>
      <c r="S13" s="430">
        <f>80.6*30</f>
        <v>2418</v>
      </c>
      <c r="U13" s="37"/>
    </row>
    <row r="14" spans="2:21">
      <c r="O14" s="103">
        <v>3225</v>
      </c>
      <c r="P14" s="429"/>
      <c r="Q14" s="429"/>
      <c r="R14" s="429"/>
      <c r="S14" s="430"/>
      <c r="U14" s="37"/>
    </row>
    <row r="15" spans="2:21">
      <c r="O15" s="122"/>
      <c r="S15" s="288"/>
      <c r="U15" s="37"/>
    </row>
    <row r="16" spans="2:21">
      <c r="B16" s="33" t="s">
        <v>510</v>
      </c>
      <c r="D16" s="284">
        <v>0.1</v>
      </c>
      <c r="E16" s="167"/>
      <c r="F16" s="167"/>
      <c r="G16" s="284">
        <v>1</v>
      </c>
      <c r="H16" s="167"/>
      <c r="I16" s="167"/>
      <c r="J16" s="284">
        <v>0.6</v>
      </c>
      <c r="O16" s="287">
        <v>3225</v>
      </c>
      <c r="P16" s="429" t="s">
        <v>526</v>
      </c>
      <c r="Q16" s="429" t="s">
        <v>528</v>
      </c>
      <c r="R16" s="429"/>
      <c r="S16" s="431">
        <f>1612*1.5</f>
        <v>2418</v>
      </c>
      <c r="U16" s="435" t="s">
        <v>533</v>
      </c>
    </row>
    <row r="17" spans="2:21">
      <c r="D17" s="167">
        <f>SUM(D13:D16)</f>
        <v>12.9</v>
      </c>
      <c r="E17" s="167"/>
      <c r="F17" s="167"/>
      <c r="G17" s="167">
        <f t="shared" ref="G17:J17" si="0">SUM(G13:G16)</f>
        <v>10</v>
      </c>
      <c r="H17" s="167"/>
      <c r="I17" s="167"/>
      <c r="J17" s="167">
        <f t="shared" si="0"/>
        <v>11.4</v>
      </c>
      <c r="O17" s="122">
        <v>2</v>
      </c>
      <c r="P17" s="429"/>
      <c r="Q17" s="429"/>
      <c r="R17" s="429"/>
      <c r="S17" s="432"/>
      <c r="U17" s="436"/>
    </row>
    <row r="18" spans="2:21">
      <c r="S18" s="288">
        <f>SUM(S13:S17)</f>
        <v>4836</v>
      </c>
      <c r="U18" s="437"/>
    </row>
    <row r="19" spans="2:21">
      <c r="B19" s="33" t="s">
        <v>511</v>
      </c>
      <c r="C19" s="277">
        <v>0.02</v>
      </c>
      <c r="D19" s="277">
        <f>D17*C19</f>
        <v>0.25800000000000001</v>
      </c>
      <c r="E19" s="277"/>
      <c r="F19" s="277">
        <v>0.06</v>
      </c>
      <c r="G19" s="277">
        <f>G17*F19</f>
        <v>0.6</v>
      </c>
      <c r="H19" s="277"/>
      <c r="I19" s="277">
        <v>0.06</v>
      </c>
      <c r="J19" s="277">
        <f>J17*I19</f>
        <v>0.68399999999999994</v>
      </c>
      <c r="N19" s="35"/>
      <c r="O19" s="35"/>
      <c r="P19" s="35"/>
      <c r="Q19" s="35"/>
      <c r="R19" s="35"/>
      <c r="S19" s="289"/>
      <c r="T19" s="35"/>
      <c r="U19" s="37"/>
    </row>
    <row r="20" spans="2:21">
      <c r="B20" s="33" t="s">
        <v>512</v>
      </c>
      <c r="C20" s="277">
        <v>0.05</v>
      </c>
      <c r="D20" s="285">
        <f>D17*C20</f>
        <v>0.64500000000000002</v>
      </c>
      <c r="E20" s="277"/>
      <c r="F20" s="277">
        <v>0.1</v>
      </c>
      <c r="G20" s="285">
        <f>G17*F20</f>
        <v>1</v>
      </c>
      <c r="H20" s="277"/>
      <c r="I20" s="277">
        <v>0.1</v>
      </c>
      <c r="J20" s="285">
        <f>J17*I20</f>
        <v>1.1400000000000001</v>
      </c>
      <c r="S20" s="288"/>
      <c r="U20" s="37"/>
    </row>
    <row r="21" spans="2:21">
      <c r="C21" s="277"/>
      <c r="D21" s="277"/>
      <c r="E21" s="277"/>
      <c r="F21" s="277"/>
      <c r="G21" s="277"/>
      <c r="H21" s="277"/>
      <c r="I21" s="277"/>
      <c r="J21" s="277"/>
      <c r="N21" s="122" t="s">
        <v>91</v>
      </c>
      <c r="O21" s="287">
        <v>260000</v>
      </c>
      <c r="P21" s="429" t="s">
        <v>527</v>
      </c>
      <c r="Q21" s="429" t="s">
        <v>529</v>
      </c>
      <c r="R21" s="429"/>
      <c r="S21" s="430">
        <f>65.82*60</f>
        <v>3949.2</v>
      </c>
      <c r="U21" s="37"/>
    </row>
    <row r="22" spans="2:21">
      <c r="B22" s="33" t="s">
        <v>513</v>
      </c>
      <c r="C22" s="277" t="s">
        <v>514</v>
      </c>
      <c r="D22" s="277">
        <f>SUM(D17,D19)</f>
        <v>13.158000000000001</v>
      </c>
      <c r="E22" s="277"/>
      <c r="F22" s="277"/>
      <c r="G22" s="277">
        <f>SUM(G17+G19)</f>
        <v>10.6</v>
      </c>
      <c r="H22" s="277"/>
      <c r="I22" s="277"/>
      <c r="J22" s="277">
        <f t="shared" ref="J22" si="1">SUM(J17,J19)</f>
        <v>12.084</v>
      </c>
      <c r="O22" s="103">
        <v>3950</v>
      </c>
      <c r="P22" s="429"/>
      <c r="Q22" s="429"/>
      <c r="R22" s="429"/>
      <c r="S22" s="430"/>
      <c r="U22" s="37"/>
    </row>
    <row r="23" spans="2:21">
      <c r="B23" s="35"/>
      <c r="C23" s="285" t="s">
        <v>515</v>
      </c>
      <c r="D23" s="285">
        <f>SUM(D17,D20)</f>
        <v>13.545</v>
      </c>
      <c r="E23" s="285"/>
      <c r="F23" s="285"/>
      <c r="G23" s="285">
        <f t="shared" ref="G23:J23" si="2">SUM(G17,G20)</f>
        <v>11</v>
      </c>
      <c r="H23" s="285"/>
      <c r="I23" s="285"/>
      <c r="J23" s="285">
        <f t="shared" si="2"/>
        <v>12.540000000000001</v>
      </c>
      <c r="S23" s="288"/>
      <c r="U23" s="37"/>
    </row>
    <row r="24" spans="2:21">
      <c r="C24" s="277"/>
      <c r="D24" s="277"/>
      <c r="E24" s="277"/>
      <c r="F24" s="277"/>
      <c r="G24" s="277"/>
      <c r="H24" s="277"/>
      <c r="I24" s="277"/>
      <c r="J24" s="277"/>
      <c r="O24" s="287">
        <v>3950</v>
      </c>
      <c r="P24" s="429" t="s">
        <v>526</v>
      </c>
      <c r="Q24" s="429" t="s">
        <v>530</v>
      </c>
      <c r="R24" s="429"/>
      <c r="S24" s="431">
        <f>1975*2</f>
        <v>3950</v>
      </c>
      <c r="U24" s="37"/>
    </row>
    <row r="25" spans="2:21">
      <c r="B25" s="434" t="s">
        <v>517</v>
      </c>
      <c r="C25" s="434"/>
      <c r="D25" s="434"/>
      <c r="E25" s="434"/>
      <c r="F25" s="434"/>
      <c r="G25" s="434"/>
      <c r="H25" s="434"/>
      <c r="I25" s="434"/>
      <c r="J25" s="434"/>
      <c r="O25" s="122">
        <v>2</v>
      </c>
      <c r="P25" s="429"/>
      <c r="Q25" s="429"/>
      <c r="R25" s="429"/>
      <c r="S25" s="432"/>
      <c r="U25" s="37"/>
    </row>
    <row r="26" spans="2:21">
      <c r="B26" s="434"/>
      <c r="C26" s="434"/>
      <c r="D26" s="434"/>
      <c r="E26" s="434"/>
      <c r="F26" s="434"/>
      <c r="G26" s="434"/>
      <c r="H26" s="434"/>
      <c r="I26" s="434"/>
      <c r="J26" s="434"/>
      <c r="S26" s="288">
        <f>SUM(S21:S25)</f>
        <v>7899.2</v>
      </c>
      <c r="U26" s="37"/>
    </row>
    <row r="27" spans="2:21">
      <c r="B27" s="434"/>
      <c r="C27" s="434"/>
      <c r="D27" s="434"/>
      <c r="E27" s="434"/>
      <c r="F27" s="434"/>
      <c r="G27" s="434"/>
      <c r="H27" s="434"/>
      <c r="I27" s="434"/>
      <c r="J27" s="434"/>
      <c r="N27" s="35"/>
      <c r="O27" s="35"/>
      <c r="P27" s="35"/>
      <c r="Q27" s="35"/>
      <c r="R27" s="35"/>
      <c r="S27" s="290"/>
      <c r="T27" s="35"/>
      <c r="U27" s="37"/>
    </row>
    <row r="28" spans="2:21">
      <c r="B28" s="434"/>
      <c r="C28" s="434"/>
      <c r="D28" s="434"/>
      <c r="E28" s="434"/>
      <c r="F28" s="434"/>
      <c r="G28" s="434"/>
      <c r="H28" s="434"/>
      <c r="I28" s="434"/>
      <c r="J28" s="434"/>
      <c r="S28" s="291"/>
      <c r="U28" s="37"/>
    </row>
    <row r="29" spans="2:21">
      <c r="N29" s="122" t="s">
        <v>91</v>
      </c>
      <c r="O29" s="287">
        <v>260000</v>
      </c>
      <c r="P29" s="429" t="s">
        <v>527</v>
      </c>
      <c r="Q29" s="429" t="s">
        <v>531</v>
      </c>
      <c r="R29" s="429"/>
      <c r="S29" s="430">
        <v>3199</v>
      </c>
      <c r="U29" s="37"/>
    </row>
    <row r="30" spans="2:21">
      <c r="B30" s="8" t="s">
        <v>518</v>
      </c>
      <c r="O30" s="103">
        <v>3657</v>
      </c>
      <c r="P30" s="429"/>
      <c r="Q30" s="429"/>
      <c r="R30" s="429"/>
      <c r="S30" s="430"/>
      <c r="U30" s="37"/>
    </row>
    <row r="31" spans="2:21">
      <c r="B31" s="8"/>
      <c r="S31" s="288"/>
      <c r="U31" s="37"/>
    </row>
    <row r="32" spans="2:21">
      <c r="B32" s="8"/>
      <c r="O32" s="287">
        <v>3657</v>
      </c>
      <c r="P32" s="429" t="s">
        <v>526</v>
      </c>
      <c r="Q32" s="429" t="s">
        <v>532</v>
      </c>
      <c r="R32" s="429"/>
      <c r="S32" s="431">
        <f>1829*1.75</f>
        <v>3200.75</v>
      </c>
      <c r="U32" s="37"/>
    </row>
    <row r="33" spans="2:21">
      <c r="B33" s="8" t="s">
        <v>519</v>
      </c>
      <c r="O33" s="122">
        <v>2</v>
      </c>
      <c r="P33" s="429"/>
      <c r="Q33" s="429"/>
      <c r="R33" s="429"/>
      <c r="S33" s="432"/>
      <c r="U33" s="37"/>
    </row>
    <row r="34" spans="2:21">
      <c r="B34" s="8"/>
      <c r="S34" s="288">
        <f>SUM(S29:S33)</f>
        <v>6399.75</v>
      </c>
    </row>
    <row r="35" spans="2:21">
      <c r="B35" s="8"/>
    </row>
    <row r="36" spans="2:21">
      <c r="B36" s="8"/>
    </row>
    <row r="37" spans="2:21">
      <c r="B37" s="8" t="s">
        <v>520</v>
      </c>
    </row>
    <row r="39" spans="2:21">
      <c r="B39" s="35"/>
      <c r="C39" s="35"/>
      <c r="D39" s="35"/>
      <c r="E39" s="35"/>
      <c r="F39" s="35"/>
      <c r="G39" s="35"/>
    </row>
    <row r="41" spans="2:21">
      <c r="B41" s="33" t="s">
        <v>521</v>
      </c>
    </row>
  </sheetData>
  <mergeCells count="24">
    <mergeCell ref="P32:P33"/>
    <mergeCell ref="Q32:R33"/>
    <mergeCell ref="S32:S33"/>
    <mergeCell ref="S16:S17"/>
    <mergeCell ref="P21:P22"/>
    <mergeCell ref="Q21:R22"/>
    <mergeCell ref="S21:S22"/>
    <mergeCell ref="P24:P25"/>
    <mergeCell ref="Q24:R25"/>
    <mergeCell ref="S24:S25"/>
    <mergeCell ref="P16:P17"/>
    <mergeCell ref="Q16:R17"/>
    <mergeCell ref="B3:G4"/>
    <mergeCell ref="N2:U3"/>
    <mergeCell ref="P29:P30"/>
    <mergeCell ref="Q29:R30"/>
    <mergeCell ref="S29:S30"/>
    <mergeCell ref="B5:J6"/>
    <mergeCell ref="B25:J28"/>
    <mergeCell ref="N5:U7"/>
    <mergeCell ref="P13:P14"/>
    <mergeCell ref="Q13:R14"/>
    <mergeCell ref="S13:S14"/>
    <mergeCell ref="U16:U18"/>
  </mergeCells>
  <pageMargins left="0.7" right="0.7" top="0.75" bottom="0.75" header="0.3" footer="0.3"/>
  <pageSetup scale="130" orientation="portrait" r:id="rId1"/>
  <legacyDrawing r:id="rId2"/>
  <oleObjects>
    <oleObject progId="Equation.3" shapeId="9217" r:id="rId3"/>
    <oleObject progId="Equation.3" shapeId="9218" r:id="rId4"/>
    <oleObject progId="Equation.3" shapeId="9219" r:id="rId5"/>
    <oleObject progId="Equation.3" shapeId="9220" r:id="rId6"/>
  </oleObject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U131"/>
  <sheetViews>
    <sheetView topLeftCell="A113" workbookViewId="0">
      <selection activeCell="N109" sqref="N109"/>
    </sheetView>
  </sheetViews>
  <sheetFormatPr defaultRowHeight="12.75"/>
  <cols>
    <col min="1" max="2" width="9.140625" style="33"/>
    <col min="3" max="3" width="2.28515625" style="33" customWidth="1"/>
    <col min="4" max="6" width="9.140625" style="33"/>
    <col min="7" max="7" width="4.140625" style="33" customWidth="1"/>
    <col min="8" max="8" width="9.140625" style="33"/>
    <col min="9" max="9" width="10.140625" style="33" customWidth="1"/>
    <col min="10" max="10" width="14" style="33" bestFit="1" customWidth="1"/>
    <col min="11" max="20" width="9.140625" style="33"/>
    <col min="21" max="21" width="13.5703125" style="33" customWidth="1"/>
    <col min="22" max="16384" width="9.140625" style="33"/>
  </cols>
  <sheetData>
    <row r="2" spans="2:21" ht="15.75">
      <c r="B2" s="40" t="s">
        <v>534</v>
      </c>
      <c r="M2" s="40" t="s">
        <v>534</v>
      </c>
    </row>
    <row r="4" spans="2:21">
      <c r="B4" s="33" t="s">
        <v>24</v>
      </c>
      <c r="D4" s="33" t="s">
        <v>535</v>
      </c>
      <c r="M4" s="33" t="s">
        <v>24</v>
      </c>
      <c r="O4" s="33" t="s">
        <v>535</v>
      </c>
    </row>
    <row r="6" spans="2:21">
      <c r="B6" s="33" t="s">
        <v>518</v>
      </c>
      <c r="D6" s="104"/>
      <c r="M6" s="33" t="s">
        <v>518</v>
      </c>
      <c r="O6" s="104"/>
    </row>
    <row r="7" spans="2:21">
      <c r="D7" s="104"/>
      <c r="O7" s="104"/>
    </row>
    <row r="8" spans="2:21">
      <c r="C8" s="33" t="s">
        <v>538</v>
      </c>
      <c r="J8" s="292"/>
      <c r="N8" s="33" t="s">
        <v>538</v>
      </c>
      <c r="U8" s="292"/>
    </row>
    <row r="9" spans="2:21">
      <c r="C9" s="33" t="s">
        <v>536</v>
      </c>
      <c r="F9" s="287">
        <v>240000</v>
      </c>
      <c r="G9" s="429" t="s">
        <v>537</v>
      </c>
      <c r="H9" s="429"/>
      <c r="I9" s="429"/>
      <c r="J9" s="293">
        <f>30+180000</f>
        <v>180030</v>
      </c>
      <c r="N9" s="33" t="s">
        <v>536</v>
      </c>
      <c r="Q9" s="287">
        <v>240000</v>
      </c>
      <c r="R9" s="429" t="s">
        <v>537</v>
      </c>
      <c r="S9" s="429"/>
      <c r="T9" s="429"/>
      <c r="U9" s="293">
        <f>30+180000</f>
        <v>180030</v>
      </c>
    </row>
    <row r="10" spans="2:21">
      <c r="F10" s="122">
        <v>2</v>
      </c>
      <c r="G10" s="429"/>
      <c r="H10" s="429"/>
      <c r="I10" s="429"/>
      <c r="J10" s="293"/>
      <c r="Q10" s="122">
        <v>2</v>
      </c>
      <c r="R10" s="429"/>
      <c r="S10" s="429"/>
      <c r="T10" s="429"/>
      <c r="U10" s="293"/>
    </row>
    <row r="11" spans="2:21">
      <c r="E11" s="268"/>
      <c r="G11" s="369" t="s">
        <v>539</v>
      </c>
      <c r="H11" s="369"/>
      <c r="I11" s="369"/>
      <c r="J11" s="294">
        <f>240000*8</f>
        <v>1920000</v>
      </c>
      <c r="P11" s="268"/>
      <c r="R11" s="369" t="s">
        <v>539</v>
      </c>
      <c r="S11" s="369"/>
      <c r="T11" s="369"/>
      <c r="U11" s="294">
        <f>240000*8</f>
        <v>1920000</v>
      </c>
    </row>
    <row r="12" spans="2:21">
      <c r="J12" s="281">
        <f>SUM(J9:J11)</f>
        <v>2100030</v>
      </c>
      <c r="U12" s="281">
        <f>SUM(U9:U11)</f>
        <v>2100030</v>
      </c>
    </row>
    <row r="14" spans="2:21">
      <c r="B14" s="33" t="s">
        <v>540</v>
      </c>
      <c r="M14" s="33" t="s">
        <v>540</v>
      </c>
    </row>
    <row r="16" spans="2:21">
      <c r="C16" s="33" t="s">
        <v>541</v>
      </c>
      <c r="J16" s="292"/>
      <c r="N16" s="33" t="s">
        <v>541</v>
      </c>
      <c r="U16" s="292"/>
    </row>
    <row r="17" spans="2:21">
      <c r="C17" s="33" t="s">
        <v>536</v>
      </c>
      <c r="F17" s="287">
        <v>240000</v>
      </c>
      <c r="G17" s="429" t="s">
        <v>542</v>
      </c>
      <c r="H17" s="429"/>
      <c r="I17" s="429"/>
      <c r="J17" s="293">
        <f>60+240000</f>
        <v>240060</v>
      </c>
      <c r="N17" s="33" t="s">
        <v>536</v>
      </c>
      <c r="Q17" s="287">
        <v>240000</v>
      </c>
      <c r="R17" s="429" t="s">
        <v>542</v>
      </c>
      <c r="S17" s="429"/>
      <c r="T17" s="429"/>
      <c r="U17" s="293">
        <f>60+240000</f>
        <v>240060</v>
      </c>
    </row>
    <row r="18" spans="2:21">
      <c r="F18" s="122">
        <v>2</v>
      </c>
      <c r="G18" s="429"/>
      <c r="H18" s="429"/>
      <c r="I18" s="429"/>
      <c r="J18" s="293"/>
      <c r="Q18" s="122">
        <v>2</v>
      </c>
      <c r="R18" s="429"/>
      <c r="S18" s="429"/>
      <c r="T18" s="429"/>
      <c r="U18" s="293"/>
    </row>
    <row r="19" spans="2:21">
      <c r="E19" s="268"/>
      <c r="G19" s="369" t="s">
        <v>539</v>
      </c>
      <c r="H19" s="369"/>
      <c r="I19" s="369"/>
      <c r="J19" s="294">
        <f>240000*8</f>
        <v>1920000</v>
      </c>
      <c r="P19" s="268"/>
      <c r="R19" s="369" t="s">
        <v>539</v>
      </c>
      <c r="S19" s="369"/>
      <c r="T19" s="369"/>
      <c r="U19" s="294">
        <f>240000*8</f>
        <v>1920000</v>
      </c>
    </row>
    <row r="20" spans="2:21">
      <c r="J20" s="281">
        <f>SUM(J17:J19)</f>
        <v>2160060</v>
      </c>
      <c r="U20" s="281">
        <f>SUM(U17:U19)</f>
        <v>2160060</v>
      </c>
    </row>
    <row r="21" spans="2:21" ht="13.5" thickBot="1">
      <c r="B21" s="120"/>
      <c r="C21" s="120"/>
      <c r="D21" s="120"/>
      <c r="E21" s="120"/>
      <c r="F21" s="120"/>
      <c r="G21" s="120"/>
      <c r="H21" s="120"/>
      <c r="I21" s="120"/>
      <c r="J21" s="120"/>
      <c r="M21" s="120"/>
      <c r="N21" s="120"/>
      <c r="O21" s="120"/>
      <c r="P21" s="120"/>
      <c r="Q21" s="120"/>
      <c r="R21" s="120"/>
      <c r="S21" s="120"/>
      <c r="T21" s="120"/>
      <c r="U21" s="120"/>
    </row>
    <row r="22" spans="2:21">
      <c r="B22" s="33" t="s">
        <v>24</v>
      </c>
      <c r="D22" s="33" t="s">
        <v>543</v>
      </c>
      <c r="F22" s="295">
        <v>240000</v>
      </c>
      <c r="G22" s="448" t="s">
        <v>545</v>
      </c>
      <c r="H22" s="449">
        <f>240000/100000</f>
        <v>2.4</v>
      </c>
      <c r="M22" s="33" t="s">
        <v>24</v>
      </c>
      <c r="O22" s="33" t="s">
        <v>543</v>
      </c>
      <c r="Q22" s="295">
        <v>240000</v>
      </c>
      <c r="R22" s="448" t="s">
        <v>545</v>
      </c>
      <c r="S22" s="449">
        <f>240000/100000</f>
        <v>2.4</v>
      </c>
    </row>
    <row r="23" spans="2:21">
      <c r="F23" s="103">
        <v>100000</v>
      </c>
      <c r="G23" s="429"/>
      <c r="H23" s="443"/>
      <c r="Q23" s="103">
        <v>100000</v>
      </c>
      <c r="R23" s="429"/>
      <c r="S23" s="443"/>
    </row>
    <row r="24" spans="2:21">
      <c r="B24" s="33" t="s">
        <v>518</v>
      </c>
      <c r="D24" s="104"/>
      <c r="M24" s="33" t="s">
        <v>518</v>
      </c>
      <c r="O24" s="104"/>
    </row>
    <row r="25" spans="2:21">
      <c r="D25" s="104"/>
      <c r="O25" s="104"/>
    </row>
    <row r="26" spans="2:21">
      <c r="C26" s="33" t="s">
        <v>546</v>
      </c>
      <c r="J26" s="292"/>
      <c r="N26" s="33" t="s">
        <v>546</v>
      </c>
      <c r="U26" s="292"/>
    </row>
    <row r="27" spans="2:21">
      <c r="C27" s="33" t="s">
        <v>536</v>
      </c>
      <c r="F27" s="287">
        <v>100000</v>
      </c>
      <c r="G27" s="429" t="s">
        <v>544</v>
      </c>
      <c r="H27" s="429"/>
      <c r="I27" s="429"/>
      <c r="J27" s="293">
        <f>72+75000</f>
        <v>75072</v>
      </c>
      <c r="N27" s="33" t="s">
        <v>536</v>
      </c>
      <c r="Q27" s="287">
        <v>100000</v>
      </c>
      <c r="R27" s="429" t="s">
        <v>544</v>
      </c>
      <c r="S27" s="429"/>
      <c r="T27" s="429"/>
      <c r="U27" s="293">
        <f>72+75000</f>
        <v>75072</v>
      </c>
    </row>
    <row r="28" spans="2:21">
      <c r="F28" s="103">
        <v>2</v>
      </c>
      <c r="G28" s="429"/>
      <c r="H28" s="429"/>
      <c r="I28" s="429"/>
      <c r="J28" s="293"/>
      <c r="Q28" s="103">
        <v>2</v>
      </c>
      <c r="R28" s="429"/>
      <c r="S28" s="429"/>
      <c r="T28" s="429"/>
      <c r="U28" s="293"/>
    </row>
    <row r="29" spans="2:21">
      <c r="E29" s="268"/>
      <c r="G29" s="369" t="s">
        <v>547</v>
      </c>
      <c r="H29" s="369"/>
      <c r="I29" s="369"/>
      <c r="J29" s="294">
        <f>240000*10</f>
        <v>2400000</v>
      </c>
      <c r="P29" s="268"/>
      <c r="R29" s="369" t="s">
        <v>547</v>
      </c>
      <c r="S29" s="369"/>
      <c r="T29" s="369"/>
      <c r="U29" s="294">
        <f>240000*10</f>
        <v>2400000</v>
      </c>
    </row>
    <row r="30" spans="2:21">
      <c r="J30" s="281">
        <f>SUM(J27:J29)</f>
        <v>2475072</v>
      </c>
      <c r="U30" s="281">
        <f>SUM(U27:U29)</f>
        <v>2475072</v>
      </c>
    </row>
    <row r="32" spans="2:21">
      <c r="B32" s="33" t="s">
        <v>540</v>
      </c>
      <c r="M32" s="33" t="s">
        <v>540</v>
      </c>
    </row>
    <row r="34" spans="2:21">
      <c r="C34" s="33" t="s">
        <v>548</v>
      </c>
      <c r="J34" s="292"/>
      <c r="N34" s="33" t="s">
        <v>548</v>
      </c>
      <c r="U34" s="292"/>
    </row>
    <row r="35" spans="2:21">
      <c r="C35" s="33" t="s">
        <v>536</v>
      </c>
      <c r="F35" s="287">
        <v>100000</v>
      </c>
      <c r="G35" s="429" t="s">
        <v>549</v>
      </c>
      <c r="H35" s="429"/>
      <c r="I35" s="429"/>
      <c r="J35" s="293">
        <f>144+100000</f>
        <v>100144</v>
      </c>
      <c r="N35" s="33" t="s">
        <v>536</v>
      </c>
      <c r="Q35" s="287">
        <v>100000</v>
      </c>
      <c r="R35" s="429" t="s">
        <v>549</v>
      </c>
      <c r="S35" s="429"/>
      <c r="T35" s="429"/>
      <c r="U35" s="293">
        <f>144+100000</f>
        <v>100144</v>
      </c>
    </row>
    <row r="36" spans="2:21">
      <c r="F36" s="122">
        <v>2</v>
      </c>
      <c r="G36" s="429"/>
      <c r="H36" s="429"/>
      <c r="I36" s="429"/>
      <c r="J36" s="293"/>
      <c r="Q36" s="122">
        <v>2</v>
      </c>
      <c r="R36" s="429"/>
      <c r="S36" s="429"/>
      <c r="T36" s="429"/>
      <c r="U36" s="293"/>
    </row>
    <row r="37" spans="2:21">
      <c r="E37" s="268"/>
      <c r="G37" s="369" t="s">
        <v>550</v>
      </c>
      <c r="H37" s="369"/>
      <c r="I37" s="369"/>
      <c r="J37" s="294">
        <f>240000*10</f>
        <v>2400000</v>
      </c>
      <c r="P37" s="268"/>
      <c r="R37" s="369" t="s">
        <v>550</v>
      </c>
      <c r="S37" s="369"/>
      <c r="T37" s="369"/>
      <c r="U37" s="294">
        <f>240000*10</f>
        <v>2400000</v>
      </c>
    </row>
    <row r="38" spans="2:21">
      <c r="J38" s="281">
        <f>SUM(J35:J37)</f>
        <v>2500144</v>
      </c>
      <c r="U38" s="281">
        <f>SUM(U35:U37)</f>
        <v>2500144</v>
      </c>
    </row>
    <row r="39" spans="2:21" ht="13.5" thickBot="1">
      <c r="B39" s="120"/>
      <c r="C39" s="120"/>
      <c r="D39" s="120"/>
      <c r="E39" s="120"/>
      <c r="F39" s="120"/>
      <c r="G39" s="120"/>
      <c r="H39" s="120"/>
      <c r="I39" s="120"/>
      <c r="J39" s="120"/>
      <c r="M39" s="120"/>
      <c r="N39" s="120"/>
      <c r="O39" s="120"/>
      <c r="P39" s="120"/>
      <c r="Q39" s="120"/>
      <c r="R39" s="120"/>
      <c r="S39" s="120"/>
      <c r="T39" s="120"/>
      <c r="U39" s="120"/>
    </row>
    <row r="40" spans="2:21">
      <c r="B40" s="33" t="s">
        <v>24</v>
      </c>
      <c r="D40" s="33" t="s">
        <v>551</v>
      </c>
      <c r="F40" s="295">
        <v>240000</v>
      </c>
      <c r="G40" s="448" t="s">
        <v>545</v>
      </c>
      <c r="H40" s="449">
        <f>240000/200000</f>
        <v>1.2</v>
      </c>
      <c r="M40" s="33" t="s">
        <v>24</v>
      </c>
      <c r="O40" s="33" t="s">
        <v>551</v>
      </c>
      <c r="Q40" s="295">
        <v>240000</v>
      </c>
      <c r="R40" s="448" t="s">
        <v>545</v>
      </c>
      <c r="S40" s="449">
        <f>240000/200000</f>
        <v>1.2</v>
      </c>
    </row>
    <row r="41" spans="2:21">
      <c r="F41" s="103">
        <v>200000</v>
      </c>
      <c r="G41" s="429"/>
      <c r="H41" s="443"/>
      <c r="Q41" s="103">
        <v>200000</v>
      </c>
      <c r="R41" s="429"/>
      <c r="S41" s="443"/>
    </row>
    <row r="42" spans="2:21">
      <c r="B42" s="33" t="s">
        <v>518</v>
      </c>
      <c r="D42" s="104"/>
      <c r="M42" s="33" t="s">
        <v>518</v>
      </c>
      <c r="O42" s="104"/>
    </row>
    <row r="43" spans="2:21">
      <c r="D43" s="104"/>
      <c r="O43" s="104"/>
    </row>
    <row r="44" spans="2:21">
      <c r="C44" s="33" t="s">
        <v>552</v>
      </c>
      <c r="J44" s="292"/>
      <c r="N44" s="33" t="s">
        <v>552</v>
      </c>
      <c r="U44" s="292"/>
    </row>
    <row r="45" spans="2:21">
      <c r="C45" s="33" t="s">
        <v>536</v>
      </c>
      <c r="F45" s="287">
        <v>200000</v>
      </c>
      <c r="G45" s="429" t="s">
        <v>553</v>
      </c>
      <c r="H45" s="429"/>
      <c r="I45" s="429"/>
      <c r="J45" s="293">
        <f>36+150000</f>
        <v>150036</v>
      </c>
      <c r="N45" s="33" t="s">
        <v>536</v>
      </c>
      <c r="Q45" s="287">
        <v>200000</v>
      </c>
      <c r="R45" s="429" t="s">
        <v>553</v>
      </c>
      <c r="S45" s="429"/>
      <c r="T45" s="429"/>
      <c r="U45" s="293">
        <f>36+150000</f>
        <v>150036</v>
      </c>
    </row>
    <row r="46" spans="2:21">
      <c r="F46" s="103">
        <v>2</v>
      </c>
      <c r="G46" s="429"/>
      <c r="H46" s="429"/>
      <c r="I46" s="429"/>
      <c r="J46" s="293"/>
      <c r="Q46" s="103">
        <v>2</v>
      </c>
      <c r="R46" s="429"/>
      <c r="S46" s="429"/>
      <c r="T46" s="429"/>
      <c r="U46" s="293"/>
    </row>
    <row r="47" spans="2:21">
      <c r="E47" s="268"/>
      <c r="G47" s="369" t="s">
        <v>554</v>
      </c>
      <c r="H47" s="369"/>
      <c r="I47" s="369"/>
      <c r="J47" s="294">
        <f>240000*8</f>
        <v>1920000</v>
      </c>
      <c r="P47" s="268"/>
      <c r="R47" s="369" t="s">
        <v>554</v>
      </c>
      <c r="S47" s="369"/>
      <c r="T47" s="369"/>
      <c r="U47" s="294">
        <f>240000*8</f>
        <v>1920000</v>
      </c>
    </row>
    <row r="48" spans="2:21">
      <c r="J48" s="281">
        <f>SUM(J45:J47)</f>
        <v>2070036</v>
      </c>
      <c r="U48" s="281">
        <f>SUM(U45:U47)</f>
        <v>2070036</v>
      </c>
    </row>
    <row r="50" spans="2:21">
      <c r="B50" s="33" t="s">
        <v>540</v>
      </c>
      <c r="M50" s="33" t="s">
        <v>540</v>
      </c>
    </row>
    <row r="52" spans="2:21">
      <c r="C52" s="33" t="s">
        <v>555</v>
      </c>
      <c r="J52" s="292"/>
      <c r="N52" s="33" t="s">
        <v>555</v>
      </c>
      <c r="U52" s="292"/>
    </row>
    <row r="53" spans="2:21">
      <c r="C53" s="33" t="s">
        <v>536</v>
      </c>
      <c r="F53" s="287">
        <v>200000</v>
      </c>
      <c r="G53" s="429" t="s">
        <v>556</v>
      </c>
      <c r="H53" s="429"/>
      <c r="I53" s="429"/>
      <c r="J53" s="293">
        <f>72+200000</f>
        <v>200072</v>
      </c>
      <c r="N53" s="33" t="s">
        <v>536</v>
      </c>
      <c r="Q53" s="287">
        <v>200000</v>
      </c>
      <c r="R53" s="429" t="s">
        <v>556</v>
      </c>
      <c r="S53" s="429"/>
      <c r="T53" s="429"/>
      <c r="U53" s="293">
        <f>72+200000</f>
        <v>200072</v>
      </c>
    </row>
    <row r="54" spans="2:21">
      <c r="F54" s="122">
        <v>2</v>
      </c>
      <c r="G54" s="429"/>
      <c r="H54" s="429"/>
      <c r="I54" s="429"/>
      <c r="J54" s="293"/>
      <c r="Q54" s="122">
        <v>2</v>
      </c>
      <c r="R54" s="429"/>
      <c r="S54" s="429"/>
      <c r="T54" s="429"/>
      <c r="U54" s="293"/>
    </row>
    <row r="55" spans="2:21">
      <c r="E55" s="268"/>
      <c r="G55" s="369" t="s">
        <v>539</v>
      </c>
      <c r="H55" s="369"/>
      <c r="I55" s="369"/>
      <c r="J55" s="294">
        <f>240000*8</f>
        <v>1920000</v>
      </c>
      <c r="P55" s="268"/>
      <c r="R55" s="369" t="s">
        <v>539</v>
      </c>
      <c r="S55" s="369"/>
      <c r="T55" s="369"/>
      <c r="U55" s="294">
        <f>240000*8</f>
        <v>1920000</v>
      </c>
    </row>
    <row r="56" spans="2:21">
      <c r="J56" s="281">
        <f>SUM(J53:J55)</f>
        <v>2120072</v>
      </c>
      <c r="U56" s="281">
        <f>SUM(U53:U55)</f>
        <v>2120072</v>
      </c>
    </row>
    <row r="58" spans="2:21" s="262" customFormat="1"/>
    <row r="60" spans="2:21" ht="15.75">
      <c r="B60" s="40" t="s">
        <v>534</v>
      </c>
    </row>
    <row r="62" spans="2:21">
      <c r="B62" s="33" t="s">
        <v>37</v>
      </c>
      <c r="D62" s="33" t="s">
        <v>557</v>
      </c>
    </row>
    <row r="64" spans="2:21">
      <c r="B64" s="33" t="s">
        <v>518</v>
      </c>
      <c r="D64" s="104"/>
    </row>
    <row r="65" spans="2:17">
      <c r="D65" s="104"/>
      <c r="Q65" s="33">
        <f>1440000/120000</f>
        <v>12</v>
      </c>
    </row>
    <row r="66" spans="2:17">
      <c r="C66" s="33" t="s">
        <v>538</v>
      </c>
      <c r="J66" s="292"/>
      <c r="N66" s="33">
        <f>60000*2.8</f>
        <v>168000</v>
      </c>
    </row>
    <row r="67" spans="2:17">
      <c r="C67" s="33" t="s">
        <v>536</v>
      </c>
      <c r="F67" s="287">
        <v>120000</v>
      </c>
      <c r="G67" s="429" t="s">
        <v>558</v>
      </c>
      <c r="H67" s="429"/>
      <c r="I67" s="429"/>
      <c r="J67" s="293">
        <f>30+120000</f>
        <v>120030</v>
      </c>
    </row>
    <row r="68" spans="2:17">
      <c r="F68" s="122">
        <v>2</v>
      </c>
      <c r="G68" s="429"/>
      <c r="H68" s="429"/>
      <c r="I68" s="429"/>
      <c r="J68" s="293"/>
    </row>
    <row r="69" spans="2:17">
      <c r="E69" s="268"/>
      <c r="G69" s="369" t="s">
        <v>559</v>
      </c>
      <c r="H69" s="369"/>
      <c r="I69" s="369"/>
      <c r="J69" s="294">
        <f>120000*12</f>
        <v>1440000</v>
      </c>
    </row>
    <row r="70" spans="2:17">
      <c r="J70" s="281">
        <f>SUM(J67:J69)</f>
        <v>1560030</v>
      </c>
    </row>
    <row r="72" spans="2:17">
      <c r="B72" s="33" t="s">
        <v>540</v>
      </c>
    </row>
    <row r="74" spans="2:17">
      <c r="C74" s="33" t="s">
        <v>541</v>
      </c>
      <c r="J74" s="292"/>
    </row>
    <row r="75" spans="2:17">
      <c r="C75" s="33" t="s">
        <v>536</v>
      </c>
      <c r="F75" s="287">
        <v>120000</v>
      </c>
      <c r="G75" s="429" t="s">
        <v>560</v>
      </c>
      <c r="H75" s="429"/>
      <c r="I75" s="429"/>
      <c r="J75" s="293">
        <f>60+168000</f>
        <v>168060</v>
      </c>
    </row>
    <row r="76" spans="2:17">
      <c r="F76" s="122">
        <v>2</v>
      </c>
      <c r="G76" s="429"/>
      <c r="H76" s="429"/>
      <c r="I76" s="429"/>
      <c r="J76" s="293"/>
    </row>
    <row r="77" spans="2:17">
      <c r="E77" s="268"/>
      <c r="G77" s="369" t="s">
        <v>559</v>
      </c>
      <c r="H77" s="369"/>
      <c r="I77" s="369"/>
      <c r="J77" s="294">
        <f>120000*12</f>
        <v>1440000</v>
      </c>
    </row>
    <row r="78" spans="2:17" ht="13.5" thickBot="1">
      <c r="B78" s="120"/>
      <c r="C78" s="120"/>
      <c r="D78" s="120"/>
      <c r="E78" s="120"/>
      <c r="F78" s="120"/>
      <c r="G78" s="120"/>
      <c r="H78" s="120"/>
      <c r="I78" s="120"/>
      <c r="J78" s="297">
        <f>SUM(J75:J77)</f>
        <v>1608060</v>
      </c>
    </row>
    <row r="79" spans="2:17">
      <c r="B79" s="33" t="s">
        <v>37</v>
      </c>
      <c r="D79" s="33" t="s">
        <v>561</v>
      </c>
      <c r="F79" s="287">
        <v>120000</v>
      </c>
      <c r="G79" s="441" t="s">
        <v>545</v>
      </c>
      <c r="H79" s="442">
        <f>240000/100000</f>
        <v>2.4</v>
      </c>
    </row>
    <row r="80" spans="2:17">
      <c r="F80" s="103">
        <v>50000</v>
      </c>
      <c r="G80" s="429"/>
      <c r="H80" s="443"/>
    </row>
    <row r="81" spans="2:15">
      <c r="B81" s="33" t="s">
        <v>518</v>
      </c>
      <c r="D81" s="104"/>
    </row>
    <row r="82" spans="2:15">
      <c r="D82" s="104"/>
    </row>
    <row r="83" spans="2:15">
      <c r="C83" s="33" t="s">
        <v>546</v>
      </c>
      <c r="J83" s="292"/>
    </row>
    <row r="84" spans="2:15">
      <c r="C84" s="33" t="s">
        <v>536</v>
      </c>
      <c r="F84" s="287">
        <v>50000</v>
      </c>
      <c r="G84" s="429" t="s">
        <v>562</v>
      </c>
      <c r="H84" s="429"/>
      <c r="I84" s="429"/>
      <c r="J84" s="293">
        <f>72+50000</f>
        <v>50072</v>
      </c>
    </row>
    <row r="85" spans="2:15">
      <c r="F85" s="103">
        <v>2</v>
      </c>
      <c r="G85" s="429"/>
      <c r="H85" s="429"/>
      <c r="I85" s="429"/>
      <c r="J85" s="293"/>
    </row>
    <row r="86" spans="2:15">
      <c r="E86" s="268"/>
      <c r="G86" s="369" t="s">
        <v>563</v>
      </c>
      <c r="H86" s="369"/>
      <c r="I86" s="369"/>
      <c r="J86" s="294">
        <f>120000*14</f>
        <v>1680000</v>
      </c>
    </row>
    <row r="87" spans="2:15">
      <c r="J87" s="281">
        <f>SUM(J84:J86)</f>
        <v>1730072</v>
      </c>
    </row>
    <row r="89" spans="2:15">
      <c r="B89" s="33" t="s">
        <v>540</v>
      </c>
    </row>
    <row r="90" spans="2:15">
      <c r="O90" s="33">
        <f>25000*2.8</f>
        <v>70000</v>
      </c>
    </row>
    <row r="91" spans="2:15">
      <c r="C91" s="33" t="s">
        <v>548</v>
      </c>
      <c r="J91" s="292"/>
    </row>
    <row r="92" spans="2:15">
      <c r="C92" s="33" t="s">
        <v>536</v>
      </c>
      <c r="F92" s="287">
        <v>50000</v>
      </c>
      <c r="G92" s="429" t="s">
        <v>564</v>
      </c>
      <c r="H92" s="429"/>
      <c r="I92" s="429"/>
      <c r="J92" s="293">
        <f>144+70000</f>
        <v>70144</v>
      </c>
    </row>
    <row r="93" spans="2:15">
      <c r="F93" s="122">
        <v>2</v>
      </c>
      <c r="G93" s="429"/>
      <c r="H93" s="429"/>
      <c r="I93" s="429"/>
      <c r="J93" s="293"/>
    </row>
    <row r="94" spans="2:15">
      <c r="E94" s="268"/>
      <c r="G94" s="369" t="s">
        <v>565</v>
      </c>
      <c r="H94" s="369"/>
      <c r="I94" s="369"/>
      <c r="J94" s="294">
        <f>120000*14</f>
        <v>1680000</v>
      </c>
    </row>
    <row r="95" spans="2:15" ht="13.5" thickBot="1">
      <c r="B95" s="120"/>
      <c r="C95" s="120"/>
      <c r="D95" s="120"/>
      <c r="E95" s="120"/>
      <c r="F95" s="120"/>
      <c r="G95" s="120"/>
      <c r="H95" s="120"/>
      <c r="I95" s="120"/>
      <c r="J95" s="297">
        <f>SUM(J92:J94)</f>
        <v>1750144</v>
      </c>
    </row>
    <row r="96" spans="2:15">
      <c r="B96" s="365" t="s">
        <v>37</v>
      </c>
      <c r="C96" s="351"/>
      <c r="D96" s="351" t="s">
        <v>561</v>
      </c>
      <c r="E96" s="351"/>
      <c r="F96" s="352">
        <v>240000</v>
      </c>
      <c r="G96" s="445" t="s">
        <v>545</v>
      </c>
      <c r="H96" s="446">
        <f>240000/50000</f>
        <v>4.8</v>
      </c>
      <c r="I96" s="351"/>
      <c r="J96" s="351"/>
    </row>
    <row r="97" spans="2:15">
      <c r="B97" s="351"/>
      <c r="C97" s="351"/>
      <c r="D97" s="351"/>
      <c r="E97" s="351"/>
      <c r="F97" s="353">
        <v>50000</v>
      </c>
      <c r="G97" s="439"/>
      <c r="H97" s="447"/>
      <c r="I97" s="351"/>
      <c r="J97" s="351"/>
    </row>
    <row r="98" spans="2:15">
      <c r="B98" s="351" t="s">
        <v>518</v>
      </c>
      <c r="C98" s="351"/>
      <c r="D98" s="354"/>
      <c r="E98" s="351"/>
      <c r="F98" s="351"/>
      <c r="G98" s="351"/>
      <c r="H98" s="351"/>
      <c r="I98" s="351"/>
      <c r="J98" s="351"/>
    </row>
    <row r="99" spans="2:15">
      <c r="B99" s="351"/>
      <c r="C99" s="351"/>
      <c r="D99" s="354"/>
      <c r="E99" s="351"/>
      <c r="F99" s="351"/>
      <c r="G99" s="351"/>
      <c r="H99" s="351"/>
      <c r="I99" s="351"/>
      <c r="J99" s="351"/>
    </row>
    <row r="100" spans="2:15">
      <c r="B100" s="351"/>
      <c r="C100" s="351" t="s">
        <v>566</v>
      </c>
      <c r="D100" s="351"/>
      <c r="E100" s="351"/>
      <c r="F100" s="351"/>
      <c r="G100" s="351"/>
      <c r="H100" s="351"/>
      <c r="I100" s="351"/>
      <c r="J100" s="355"/>
    </row>
    <row r="101" spans="2:15">
      <c r="B101" s="351"/>
      <c r="C101" s="351" t="s">
        <v>536</v>
      </c>
      <c r="D101" s="351"/>
      <c r="E101" s="351"/>
      <c r="F101" s="352">
        <v>50000</v>
      </c>
      <c r="G101" s="439" t="s">
        <v>567</v>
      </c>
      <c r="H101" s="439"/>
      <c r="I101" s="439"/>
      <c r="J101" s="356">
        <f>144+37500</f>
        <v>37644</v>
      </c>
    </row>
    <row r="102" spans="2:15">
      <c r="B102" s="351"/>
      <c r="C102" s="351"/>
      <c r="D102" s="351"/>
      <c r="E102" s="351"/>
      <c r="F102" s="353">
        <v>2</v>
      </c>
      <c r="G102" s="439"/>
      <c r="H102" s="439"/>
      <c r="I102" s="439"/>
      <c r="J102" s="356"/>
    </row>
    <row r="103" spans="2:15">
      <c r="B103" s="351"/>
      <c r="C103" s="351"/>
      <c r="D103" s="351"/>
      <c r="E103" s="357"/>
      <c r="F103" s="351"/>
      <c r="G103" s="444" t="s">
        <v>568</v>
      </c>
      <c r="H103" s="444"/>
      <c r="I103" s="444"/>
      <c r="J103" s="358">
        <f>240000*12</f>
        <v>2880000</v>
      </c>
    </row>
    <row r="104" spans="2:15">
      <c r="B104" s="351"/>
      <c r="C104" s="351"/>
      <c r="D104" s="351"/>
      <c r="E104" s="351"/>
      <c r="F104" s="351"/>
      <c r="G104" s="351"/>
      <c r="H104" s="351"/>
      <c r="I104" s="351"/>
      <c r="J104" s="359">
        <f>SUM(J101:J103)</f>
        <v>2917644</v>
      </c>
    </row>
    <row r="105" spans="2:15">
      <c r="B105" s="351"/>
      <c r="C105" s="351"/>
      <c r="D105" s="365" t="s">
        <v>631</v>
      </c>
      <c r="E105" s="351"/>
      <c r="F105" s="351"/>
      <c r="G105" s="351"/>
      <c r="H105" s="351"/>
      <c r="I105" s="351"/>
      <c r="J105" s="351"/>
    </row>
    <row r="106" spans="2:15">
      <c r="B106" s="351" t="s">
        <v>540</v>
      </c>
      <c r="C106" s="351"/>
      <c r="D106" s="351"/>
      <c r="E106" s="351"/>
      <c r="F106" s="351"/>
      <c r="G106" s="351"/>
      <c r="H106" s="351"/>
      <c r="I106" s="351"/>
      <c r="J106" s="351"/>
    </row>
    <row r="107" spans="2:15">
      <c r="B107" s="351"/>
      <c r="C107" s="351"/>
      <c r="D107" s="351"/>
      <c r="E107" s="351"/>
      <c r="F107" s="351"/>
      <c r="G107" s="351"/>
      <c r="H107" s="351"/>
      <c r="I107" s="351"/>
      <c r="J107" s="351"/>
    </row>
    <row r="108" spans="2:15">
      <c r="B108" s="351"/>
      <c r="C108" s="351" t="s">
        <v>569</v>
      </c>
      <c r="D108" s="351"/>
      <c r="E108" s="351"/>
      <c r="F108" s="351"/>
      <c r="G108" s="351"/>
      <c r="H108" s="351"/>
      <c r="I108" s="351"/>
      <c r="J108" s="355"/>
      <c r="O108" s="33">
        <f>2880000/50000</f>
        <v>57.6</v>
      </c>
    </row>
    <row r="109" spans="2:15">
      <c r="B109" s="351" t="s">
        <v>575</v>
      </c>
      <c r="C109" s="351" t="s">
        <v>536</v>
      </c>
      <c r="D109" s="351"/>
      <c r="E109" s="351"/>
      <c r="F109" s="352">
        <v>50000</v>
      </c>
      <c r="G109" s="439" t="s">
        <v>574</v>
      </c>
      <c r="H109" s="439"/>
      <c r="I109" s="439"/>
      <c r="J109" s="356">
        <f>288+70000</f>
        <v>70288</v>
      </c>
    </row>
    <row r="110" spans="2:15">
      <c r="B110" s="351"/>
      <c r="C110" s="351"/>
      <c r="D110" s="351"/>
      <c r="E110" s="351"/>
      <c r="F110" s="360">
        <v>2</v>
      </c>
      <c r="G110" s="439"/>
      <c r="H110" s="439"/>
      <c r="I110" s="439"/>
      <c r="J110" s="356"/>
    </row>
    <row r="111" spans="2:15">
      <c r="B111" s="361"/>
      <c r="C111" s="361"/>
      <c r="D111" s="361"/>
      <c r="E111" s="362"/>
      <c r="F111" s="361"/>
      <c r="G111" s="440" t="s">
        <v>570</v>
      </c>
      <c r="H111" s="440"/>
      <c r="I111" s="440"/>
      <c r="J111" s="358">
        <f>240000*12</f>
        <v>2880000</v>
      </c>
    </row>
    <row r="112" spans="2:15" ht="13.5" thickBot="1">
      <c r="B112" s="363"/>
      <c r="C112" s="363"/>
      <c r="D112" s="363"/>
      <c r="E112" s="363"/>
      <c r="F112" s="363"/>
      <c r="G112" s="363"/>
      <c r="H112" s="363"/>
      <c r="I112" s="363"/>
      <c r="J112" s="364">
        <f>SUM(J109:J111)</f>
        <v>2950288</v>
      </c>
    </row>
    <row r="113" spans="2:13">
      <c r="B113" s="37"/>
      <c r="C113" s="37"/>
      <c r="D113" s="37"/>
      <c r="E113" s="37"/>
      <c r="F113" s="37"/>
      <c r="G113" s="37"/>
      <c r="H113" s="37"/>
      <c r="I113" s="37"/>
      <c r="J113" s="298"/>
    </row>
    <row r="114" spans="2:13">
      <c r="B114" s="37"/>
      <c r="C114" s="37"/>
      <c r="D114" s="37"/>
      <c r="E114" s="37"/>
      <c r="F114" s="37"/>
      <c r="G114" s="37"/>
      <c r="H114" s="37"/>
      <c r="I114" s="37"/>
      <c r="J114" s="298"/>
    </row>
    <row r="115" spans="2:13">
      <c r="B115" s="33" t="s">
        <v>37</v>
      </c>
      <c r="D115" s="33" t="s">
        <v>571</v>
      </c>
      <c r="F115" s="287">
        <v>120000</v>
      </c>
      <c r="G115" s="441" t="s">
        <v>545</v>
      </c>
      <c r="H115" s="442">
        <f>120000/25000</f>
        <v>4.8</v>
      </c>
      <c r="M115" s="33">
        <f>25000*2.8</f>
        <v>70000</v>
      </c>
    </row>
    <row r="116" spans="2:13">
      <c r="F116" s="103">
        <v>25000</v>
      </c>
      <c r="G116" s="429"/>
      <c r="H116" s="443"/>
    </row>
    <row r="117" spans="2:13">
      <c r="B117" s="33" t="s">
        <v>518</v>
      </c>
      <c r="D117" s="104"/>
    </row>
    <row r="118" spans="2:13">
      <c r="D118" s="104"/>
    </row>
    <row r="119" spans="2:13">
      <c r="C119" s="33" t="s">
        <v>566</v>
      </c>
      <c r="J119" s="292"/>
    </row>
    <row r="120" spans="2:13">
      <c r="C120" s="33" t="s">
        <v>536</v>
      </c>
      <c r="F120" s="287">
        <v>25000</v>
      </c>
      <c r="G120" s="429" t="s">
        <v>572</v>
      </c>
      <c r="H120" s="429"/>
      <c r="I120" s="429"/>
      <c r="J120" s="293">
        <f>144+25000</f>
        <v>25144</v>
      </c>
    </row>
    <row r="121" spans="2:13">
      <c r="F121" s="103">
        <v>2</v>
      </c>
      <c r="G121" s="429"/>
      <c r="H121" s="429"/>
      <c r="I121" s="429"/>
      <c r="J121" s="293"/>
    </row>
    <row r="122" spans="2:13">
      <c r="E122" s="268"/>
      <c r="G122" s="369" t="s">
        <v>573</v>
      </c>
      <c r="H122" s="369"/>
      <c r="I122" s="369"/>
      <c r="J122" s="294">
        <f>120000*16</f>
        <v>1920000</v>
      </c>
    </row>
    <row r="123" spans="2:13">
      <c r="J123" s="281">
        <f>SUM(J120:J122)</f>
        <v>1945144</v>
      </c>
    </row>
    <row r="125" spans="2:13">
      <c r="B125" s="33" t="s">
        <v>540</v>
      </c>
    </row>
    <row r="127" spans="2:13">
      <c r="C127" s="33" t="s">
        <v>569</v>
      </c>
      <c r="J127" s="292"/>
    </row>
    <row r="128" spans="2:13">
      <c r="C128" s="33" t="s">
        <v>536</v>
      </c>
      <c r="F128" s="287">
        <v>25000</v>
      </c>
      <c r="G128" s="429" t="s">
        <v>576</v>
      </c>
      <c r="H128" s="429"/>
      <c r="I128" s="429"/>
      <c r="J128" s="293">
        <f>288+35000</f>
        <v>35288</v>
      </c>
    </row>
    <row r="129" spans="2:10">
      <c r="F129" s="122">
        <v>2.8</v>
      </c>
      <c r="G129" s="429"/>
      <c r="H129" s="429"/>
      <c r="I129" s="429"/>
      <c r="J129" s="293"/>
    </row>
    <row r="130" spans="2:10">
      <c r="B130" s="37"/>
      <c r="C130" s="37"/>
      <c r="D130" s="37"/>
      <c r="E130" s="296"/>
      <c r="F130" s="37"/>
      <c r="G130" s="438" t="s">
        <v>577</v>
      </c>
      <c r="H130" s="438"/>
      <c r="I130" s="438"/>
      <c r="J130" s="294">
        <f>120000*16</f>
        <v>1920000</v>
      </c>
    </row>
    <row r="131" spans="2:10" ht="13.5" thickBot="1">
      <c r="B131" s="120"/>
      <c r="C131" s="120"/>
      <c r="D131" s="120"/>
      <c r="E131" s="120"/>
      <c r="F131" s="120"/>
      <c r="G131" s="120"/>
      <c r="H131" s="120"/>
      <c r="I131" s="120"/>
      <c r="J131" s="297">
        <f>SUM(J128:J130)</f>
        <v>1955288</v>
      </c>
    </row>
  </sheetData>
  <mergeCells count="54">
    <mergeCell ref="G22:G23"/>
    <mergeCell ref="H22:H23"/>
    <mergeCell ref="G40:G41"/>
    <mergeCell ref="H40:H41"/>
    <mergeCell ref="G9:I10"/>
    <mergeCell ref="G11:I11"/>
    <mergeCell ref="G17:I18"/>
    <mergeCell ref="G19:I19"/>
    <mergeCell ref="G27:I28"/>
    <mergeCell ref="R45:T46"/>
    <mergeCell ref="R47:T47"/>
    <mergeCell ref="R9:T10"/>
    <mergeCell ref="R11:T11"/>
    <mergeCell ref="R17:T18"/>
    <mergeCell ref="R19:T19"/>
    <mergeCell ref="R22:R23"/>
    <mergeCell ref="S22:S23"/>
    <mergeCell ref="R27:T28"/>
    <mergeCell ref="R29:T29"/>
    <mergeCell ref="R35:T36"/>
    <mergeCell ref="R37:T37"/>
    <mergeCell ref="R40:R41"/>
    <mergeCell ref="S40:S41"/>
    <mergeCell ref="G45:I46"/>
    <mergeCell ref="G47:I47"/>
    <mergeCell ref="G53:I54"/>
    <mergeCell ref="G55:I55"/>
    <mergeCell ref="G29:I29"/>
    <mergeCell ref="G35:I36"/>
    <mergeCell ref="G37:I37"/>
    <mergeCell ref="R53:T54"/>
    <mergeCell ref="R55:T55"/>
    <mergeCell ref="G67:I68"/>
    <mergeCell ref="G103:I103"/>
    <mergeCell ref="G75:I76"/>
    <mergeCell ref="G77:I77"/>
    <mergeCell ref="G79:G80"/>
    <mergeCell ref="H79:H80"/>
    <mergeCell ref="G84:I85"/>
    <mergeCell ref="G86:I86"/>
    <mergeCell ref="G92:I93"/>
    <mergeCell ref="G94:I94"/>
    <mergeCell ref="G96:G97"/>
    <mergeCell ref="H96:H97"/>
    <mergeCell ref="G101:I102"/>
    <mergeCell ref="G69:I69"/>
    <mergeCell ref="G128:I129"/>
    <mergeCell ref="G130:I130"/>
    <mergeCell ref="G109:I110"/>
    <mergeCell ref="G111:I111"/>
    <mergeCell ref="G115:G116"/>
    <mergeCell ref="H115:H116"/>
    <mergeCell ref="G120:I121"/>
    <mergeCell ref="G122:I122"/>
  </mergeCells>
  <pageMargins left="0.7" right="0.7" top="0.75" bottom="0.75" header="0.3" footer="0.3"/>
  <pageSetup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56"/>
  <sheetViews>
    <sheetView workbookViewId="0">
      <selection activeCell="K49" sqref="K49"/>
    </sheetView>
  </sheetViews>
  <sheetFormatPr defaultRowHeight="12.75"/>
  <cols>
    <col min="1" max="1" width="9.140625" style="33"/>
    <col min="2" max="3" width="9.42578125" style="33" bestFit="1" customWidth="1"/>
    <col min="4" max="4" width="12.85546875" style="33" bestFit="1" customWidth="1"/>
    <col min="5" max="5" width="17.5703125" style="33" bestFit="1" customWidth="1"/>
    <col min="6" max="6" width="11" style="33" customWidth="1"/>
    <col min="7" max="7" width="9" style="33" customWidth="1"/>
    <col min="8" max="8" width="13.140625" style="33" bestFit="1" customWidth="1"/>
    <col min="9" max="9" width="17.140625" style="33" customWidth="1"/>
    <col min="10" max="10" width="12.5703125" style="33" customWidth="1"/>
    <col min="11" max="11" width="14.140625" style="33" customWidth="1"/>
    <col min="12" max="16384" width="9.140625" style="33"/>
  </cols>
  <sheetData>
    <row r="2" spans="2:11" ht="15.75">
      <c r="B2" s="40" t="s">
        <v>578</v>
      </c>
    </row>
    <row r="3" spans="2:11">
      <c r="B3" s="33" t="s">
        <v>579</v>
      </c>
      <c r="E3" s="33">
        <f>252000*0.3</f>
        <v>75600</v>
      </c>
    </row>
    <row r="5" spans="2:11" s="300" customFormat="1" ht="40.5">
      <c r="B5" s="301" t="s">
        <v>580</v>
      </c>
      <c r="C5" s="301" t="s">
        <v>581</v>
      </c>
      <c r="D5" s="301" t="s">
        <v>582</v>
      </c>
      <c r="E5" s="301" t="s">
        <v>583</v>
      </c>
      <c r="F5" s="301" t="s">
        <v>589</v>
      </c>
      <c r="G5" s="302" t="s">
        <v>584</v>
      </c>
      <c r="H5" s="301" t="s">
        <v>585</v>
      </c>
      <c r="I5" s="301" t="s">
        <v>586</v>
      </c>
      <c r="J5" s="301" t="s">
        <v>587</v>
      </c>
      <c r="K5" s="301" t="s">
        <v>588</v>
      </c>
    </row>
    <row r="6" spans="2:11" s="303" customFormat="1" ht="27" customHeight="1">
      <c r="B6" s="304">
        <v>1</v>
      </c>
      <c r="C6" s="305">
        <v>1527</v>
      </c>
      <c r="D6" s="306">
        <v>5000</v>
      </c>
      <c r="E6" s="307">
        <f>C6*D6</f>
        <v>7635000</v>
      </c>
      <c r="F6" s="305">
        <v>22680000</v>
      </c>
      <c r="G6" s="308">
        <v>0.06</v>
      </c>
      <c r="H6" s="309">
        <f>F6*G6</f>
        <v>1360800</v>
      </c>
      <c r="I6" s="310">
        <f>E6+H6</f>
        <v>8995800</v>
      </c>
      <c r="J6" s="311">
        <f>I6/C6</f>
        <v>5891.1591355599212</v>
      </c>
      <c r="K6" s="312">
        <f>I6/75600</f>
        <v>118.99206349206349</v>
      </c>
    </row>
    <row r="7" spans="2:11" ht="24.75" customHeight="1">
      <c r="B7" s="7">
        <v>2</v>
      </c>
      <c r="C7" s="1">
        <v>1292</v>
      </c>
      <c r="D7" s="313">
        <v>4500</v>
      </c>
      <c r="E7" s="314">
        <f t="shared" ref="E7:E17" si="0">C7*D7</f>
        <v>5814000</v>
      </c>
      <c r="F7" s="1">
        <v>22680000</v>
      </c>
      <c r="G7" s="315">
        <v>0.08</v>
      </c>
      <c r="H7" s="316">
        <f t="shared" ref="H7:H17" si="1">F7*G7</f>
        <v>1814400</v>
      </c>
      <c r="I7" s="317">
        <f t="shared" ref="I7:I17" si="2">E7+H7</f>
        <v>7628400</v>
      </c>
      <c r="J7" s="318">
        <f t="shared" ref="J7:J17" si="3">I7/C7</f>
        <v>5904.3343653250777</v>
      </c>
      <c r="K7" s="319">
        <f t="shared" ref="K7:K17" si="4">I7/75600</f>
        <v>100.9047619047619</v>
      </c>
    </row>
    <row r="8" spans="2:11" s="303" customFormat="1" ht="26.25" customHeight="1">
      <c r="B8" s="304">
        <v>3</v>
      </c>
      <c r="C8" s="305">
        <v>1145</v>
      </c>
      <c r="D8" s="306">
        <v>4000</v>
      </c>
      <c r="E8" s="307">
        <f t="shared" si="0"/>
        <v>4580000</v>
      </c>
      <c r="F8" s="305">
        <v>22680000</v>
      </c>
      <c r="G8" s="308">
        <v>0.1</v>
      </c>
      <c r="H8" s="309">
        <f t="shared" si="1"/>
        <v>2268000</v>
      </c>
      <c r="I8" s="310">
        <f t="shared" si="2"/>
        <v>6848000</v>
      </c>
      <c r="J8" s="311">
        <f t="shared" si="3"/>
        <v>5980.7860262008735</v>
      </c>
      <c r="K8" s="312">
        <f t="shared" si="4"/>
        <v>90.582010582010582</v>
      </c>
    </row>
    <row r="9" spans="2:11" ht="26.25" customHeight="1">
      <c r="B9" s="7">
        <v>4</v>
      </c>
      <c r="C9" s="1">
        <v>1029</v>
      </c>
      <c r="D9" s="313">
        <v>3500</v>
      </c>
      <c r="E9" s="314">
        <f t="shared" si="0"/>
        <v>3601500</v>
      </c>
      <c r="F9" s="1">
        <v>22680000</v>
      </c>
      <c r="G9" s="315">
        <v>0.12</v>
      </c>
      <c r="H9" s="316">
        <f t="shared" si="1"/>
        <v>2721600</v>
      </c>
      <c r="I9" s="317">
        <f t="shared" si="2"/>
        <v>6323100</v>
      </c>
      <c r="J9" s="318">
        <f t="shared" si="3"/>
        <v>6144.8979591836733</v>
      </c>
      <c r="K9" s="319">
        <f t="shared" si="4"/>
        <v>83.638888888888886</v>
      </c>
    </row>
    <row r="10" spans="2:11" s="303" customFormat="1" ht="24.75" customHeight="1">
      <c r="B10" s="304">
        <v>5</v>
      </c>
      <c r="C10" s="305">
        <v>916</v>
      </c>
      <c r="D10" s="306">
        <v>3000</v>
      </c>
      <c r="E10" s="307">
        <f t="shared" si="0"/>
        <v>2748000</v>
      </c>
      <c r="F10" s="305">
        <v>22680000</v>
      </c>
      <c r="G10" s="308">
        <v>0.14000000000000001</v>
      </c>
      <c r="H10" s="309">
        <f t="shared" si="1"/>
        <v>3175200.0000000005</v>
      </c>
      <c r="I10" s="310">
        <f t="shared" si="2"/>
        <v>5923200</v>
      </c>
      <c r="J10" s="311">
        <f t="shared" si="3"/>
        <v>6466.3755458515279</v>
      </c>
      <c r="K10" s="312">
        <f t="shared" si="4"/>
        <v>78.349206349206355</v>
      </c>
    </row>
    <row r="11" spans="2:11" ht="26.25" customHeight="1">
      <c r="B11" s="7">
        <v>6</v>
      </c>
      <c r="C11" s="1">
        <v>840</v>
      </c>
      <c r="D11" s="313">
        <v>2500</v>
      </c>
      <c r="E11" s="314">
        <f t="shared" si="0"/>
        <v>2100000</v>
      </c>
      <c r="F11" s="1">
        <v>22680000</v>
      </c>
      <c r="G11" s="315">
        <v>0.16</v>
      </c>
      <c r="H11" s="316">
        <f t="shared" si="1"/>
        <v>3628800</v>
      </c>
      <c r="I11" s="317">
        <f t="shared" si="2"/>
        <v>5728800</v>
      </c>
      <c r="J11" s="318">
        <f t="shared" si="3"/>
        <v>6820</v>
      </c>
      <c r="K11" s="319">
        <f t="shared" si="4"/>
        <v>75.777777777777771</v>
      </c>
    </row>
    <row r="12" spans="2:11" s="303" customFormat="1" ht="26.25" customHeight="1">
      <c r="B12" s="304">
        <v>7</v>
      </c>
      <c r="C12" s="305">
        <v>775</v>
      </c>
      <c r="D12" s="306">
        <v>2000</v>
      </c>
      <c r="E12" s="307">
        <f t="shared" si="0"/>
        <v>1550000</v>
      </c>
      <c r="F12" s="305">
        <v>22680000</v>
      </c>
      <c r="G12" s="308">
        <v>0.18</v>
      </c>
      <c r="H12" s="309">
        <f t="shared" si="1"/>
        <v>4082400</v>
      </c>
      <c r="I12" s="310">
        <f t="shared" si="2"/>
        <v>5632400</v>
      </c>
      <c r="J12" s="311">
        <f t="shared" si="3"/>
        <v>7267.6129032258068</v>
      </c>
      <c r="K12" s="312">
        <f t="shared" si="4"/>
        <v>74.502645502645507</v>
      </c>
    </row>
    <row r="13" spans="2:11" ht="26.25" customHeight="1">
      <c r="B13" s="7">
        <v>8</v>
      </c>
      <c r="C13" s="1">
        <v>710</v>
      </c>
      <c r="D13" s="313">
        <v>1500</v>
      </c>
      <c r="E13" s="314">
        <f t="shared" si="0"/>
        <v>1065000</v>
      </c>
      <c r="F13" s="1">
        <v>22680000</v>
      </c>
      <c r="G13" s="315">
        <v>0.2</v>
      </c>
      <c r="H13" s="316">
        <f t="shared" si="1"/>
        <v>4536000</v>
      </c>
      <c r="I13" s="317">
        <f t="shared" si="2"/>
        <v>5601000</v>
      </c>
      <c r="J13" s="318">
        <f t="shared" si="3"/>
        <v>7888.7323943661968</v>
      </c>
      <c r="K13" s="319">
        <f t="shared" si="4"/>
        <v>74.087301587301582</v>
      </c>
    </row>
    <row r="14" spans="2:11" s="303" customFormat="1" ht="24.75" customHeight="1">
      <c r="B14" s="304">
        <v>9</v>
      </c>
      <c r="C14" s="305">
        <v>654</v>
      </c>
      <c r="D14" s="306">
        <v>1000</v>
      </c>
      <c r="E14" s="307">
        <f t="shared" si="0"/>
        <v>654000</v>
      </c>
      <c r="F14" s="305">
        <v>22680000</v>
      </c>
      <c r="G14" s="308">
        <v>0.22</v>
      </c>
      <c r="H14" s="309">
        <f t="shared" si="1"/>
        <v>4989600</v>
      </c>
      <c r="I14" s="310">
        <f t="shared" si="2"/>
        <v>5643600</v>
      </c>
      <c r="J14" s="311">
        <f t="shared" si="3"/>
        <v>8629.3577981651379</v>
      </c>
      <c r="K14" s="312">
        <f t="shared" si="4"/>
        <v>74.650793650793645</v>
      </c>
    </row>
    <row r="15" spans="2:11" ht="25.5" customHeight="1">
      <c r="B15" s="7">
        <v>10</v>
      </c>
      <c r="C15" s="1">
        <v>622</v>
      </c>
      <c r="D15" s="313">
        <v>750</v>
      </c>
      <c r="E15" s="314">
        <f t="shared" si="0"/>
        <v>466500</v>
      </c>
      <c r="F15" s="1">
        <v>22680000</v>
      </c>
      <c r="G15" s="315">
        <v>0.24</v>
      </c>
      <c r="H15" s="316">
        <f t="shared" si="1"/>
        <v>5443200</v>
      </c>
      <c r="I15" s="317">
        <f t="shared" si="2"/>
        <v>5909700</v>
      </c>
      <c r="J15" s="318">
        <f t="shared" si="3"/>
        <v>9501.125401929261</v>
      </c>
      <c r="K15" s="319">
        <f t="shared" si="4"/>
        <v>78.170634920634924</v>
      </c>
    </row>
    <row r="16" spans="2:11" s="303" customFormat="1" ht="26.25" customHeight="1">
      <c r="B16" s="304">
        <v>11</v>
      </c>
      <c r="C16" s="305">
        <v>579</v>
      </c>
      <c r="D16" s="306">
        <v>500</v>
      </c>
      <c r="E16" s="307">
        <f t="shared" si="0"/>
        <v>289500</v>
      </c>
      <c r="F16" s="305">
        <v>22680000</v>
      </c>
      <c r="G16" s="308">
        <v>0.26</v>
      </c>
      <c r="H16" s="309">
        <f t="shared" si="1"/>
        <v>5896800</v>
      </c>
      <c r="I16" s="310">
        <f t="shared" si="2"/>
        <v>6186300</v>
      </c>
      <c r="J16" s="311">
        <f t="shared" si="3"/>
        <v>10684.455958549222</v>
      </c>
      <c r="K16" s="312">
        <f t="shared" si="4"/>
        <v>81.829365079365076</v>
      </c>
    </row>
    <row r="17" spans="2:11" ht="26.25" customHeight="1">
      <c r="B17" s="7">
        <v>12</v>
      </c>
      <c r="C17" s="1">
        <v>542</v>
      </c>
      <c r="D17" s="313">
        <v>250</v>
      </c>
      <c r="E17" s="314">
        <f t="shared" si="0"/>
        <v>135500</v>
      </c>
      <c r="F17" s="1">
        <v>22680000</v>
      </c>
      <c r="G17" s="315">
        <v>0.28000000000000003</v>
      </c>
      <c r="H17" s="316">
        <f t="shared" si="1"/>
        <v>6350400.0000000009</v>
      </c>
      <c r="I17" s="317">
        <f t="shared" si="2"/>
        <v>6485900.0000000009</v>
      </c>
      <c r="J17" s="318">
        <f t="shared" si="3"/>
        <v>11966.605166051662</v>
      </c>
      <c r="K17" s="319">
        <f t="shared" si="4"/>
        <v>85.792328042328052</v>
      </c>
    </row>
    <row r="20" spans="2:11">
      <c r="D20" s="281"/>
      <c r="K20" s="299"/>
    </row>
    <row r="21" spans="2:11" s="262" customFormat="1">
      <c r="F21" s="320"/>
      <c r="H21" s="321"/>
      <c r="I21" s="322"/>
    </row>
    <row r="23" spans="2:11" ht="15.75">
      <c r="B23" s="40" t="s">
        <v>578</v>
      </c>
    </row>
    <row r="24" spans="2:11">
      <c r="B24" s="33" t="s">
        <v>590</v>
      </c>
    </row>
    <row r="26" spans="2:11" ht="40.5">
      <c r="B26" s="301" t="s">
        <v>580</v>
      </c>
      <c r="C26" s="301" t="s">
        <v>581</v>
      </c>
      <c r="D26" s="301" t="s">
        <v>582</v>
      </c>
      <c r="E26" s="301" t="s">
        <v>583</v>
      </c>
      <c r="F26" s="301" t="s">
        <v>589</v>
      </c>
      <c r="G26" s="302" t="s">
        <v>584</v>
      </c>
      <c r="H26" s="301" t="s">
        <v>585</v>
      </c>
      <c r="I26" s="301" t="s">
        <v>586</v>
      </c>
      <c r="J26" s="301" t="s">
        <v>587</v>
      </c>
      <c r="K26" s="301" t="s">
        <v>588</v>
      </c>
    </row>
    <row r="27" spans="2:11" s="208" customFormat="1" ht="29.25" customHeight="1">
      <c r="B27" s="323">
        <v>1</v>
      </c>
      <c r="C27" s="227">
        <v>1527</v>
      </c>
      <c r="D27" s="324">
        <v>5000</v>
      </c>
      <c r="E27" s="325">
        <f>C27*D27</f>
        <v>7635000</v>
      </c>
      <c r="F27" s="227">
        <v>30240000</v>
      </c>
      <c r="G27" s="326">
        <v>0.06</v>
      </c>
      <c r="H27" s="327">
        <f>F27*G27</f>
        <v>1814400</v>
      </c>
      <c r="I27" s="328">
        <f>E27+H27</f>
        <v>9449400</v>
      </c>
      <c r="J27" s="327">
        <f>I27/C27</f>
        <v>6188.2121807465619</v>
      </c>
      <c r="K27" s="329">
        <f>I27/100800</f>
        <v>93.74404761904762</v>
      </c>
    </row>
    <row r="28" spans="2:11" ht="28.5" customHeight="1">
      <c r="B28" s="304">
        <v>3</v>
      </c>
      <c r="C28" s="305">
        <v>1145</v>
      </c>
      <c r="D28" s="306">
        <v>4000</v>
      </c>
      <c r="E28" s="307">
        <f t="shared" ref="E28:E37" si="5">C28*D28</f>
        <v>4580000</v>
      </c>
      <c r="F28" s="305">
        <v>30240000</v>
      </c>
      <c r="G28" s="308">
        <v>0.1</v>
      </c>
      <c r="H28" s="309">
        <f t="shared" ref="H28:H37" si="6">F28*G28</f>
        <v>3024000</v>
      </c>
      <c r="I28" s="310">
        <f t="shared" ref="I28:I37" si="7">E28+H28</f>
        <v>7604000</v>
      </c>
      <c r="J28" s="309">
        <f t="shared" ref="J28:J37" si="8">I28/C28</f>
        <v>6641.048034934498</v>
      </c>
      <c r="K28" s="312">
        <f t="shared" ref="K28:K37" si="9">I28/100800</f>
        <v>75.436507936507937</v>
      </c>
    </row>
    <row r="29" spans="2:11" ht="28.5" customHeight="1">
      <c r="B29" s="7">
        <v>4</v>
      </c>
      <c r="C29" s="1">
        <v>1029</v>
      </c>
      <c r="D29" s="313">
        <v>3500</v>
      </c>
      <c r="E29" s="314">
        <f t="shared" si="5"/>
        <v>3601500</v>
      </c>
      <c r="F29" s="227">
        <v>30240000</v>
      </c>
      <c r="G29" s="315">
        <v>0.12</v>
      </c>
      <c r="H29" s="316">
        <f t="shared" si="6"/>
        <v>3628800</v>
      </c>
      <c r="I29" s="317">
        <f t="shared" si="7"/>
        <v>7230300</v>
      </c>
      <c r="J29" s="316">
        <f t="shared" si="8"/>
        <v>7026.5306122448983</v>
      </c>
      <c r="K29" s="329">
        <f t="shared" si="9"/>
        <v>71.729166666666671</v>
      </c>
    </row>
    <row r="30" spans="2:11" ht="28.5" customHeight="1">
      <c r="B30" s="304">
        <v>5</v>
      </c>
      <c r="C30" s="305">
        <v>916</v>
      </c>
      <c r="D30" s="306">
        <v>3000</v>
      </c>
      <c r="E30" s="307">
        <f t="shared" si="5"/>
        <v>2748000</v>
      </c>
      <c r="F30" s="305">
        <v>30240000</v>
      </c>
      <c r="G30" s="308">
        <v>0.14000000000000001</v>
      </c>
      <c r="H30" s="309">
        <f t="shared" si="6"/>
        <v>4233600</v>
      </c>
      <c r="I30" s="310">
        <f t="shared" si="7"/>
        <v>6981600</v>
      </c>
      <c r="J30" s="309">
        <f t="shared" si="8"/>
        <v>7621.8340611353715</v>
      </c>
      <c r="K30" s="312">
        <f t="shared" si="9"/>
        <v>69.261904761904759</v>
      </c>
    </row>
    <row r="31" spans="2:11" ht="28.5" customHeight="1">
      <c r="B31" s="7">
        <v>6</v>
      </c>
      <c r="C31" s="1">
        <v>840</v>
      </c>
      <c r="D31" s="313">
        <v>2500</v>
      </c>
      <c r="E31" s="314">
        <f t="shared" si="5"/>
        <v>2100000</v>
      </c>
      <c r="F31" s="227">
        <v>30240000</v>
      </c>
      <c r="G31" s="315">
        <v>0.16</v>
      </c>
      <c r="H31" s="316">
        <f t="shared" si="6"/>
        <v>4838400</v>
      </c>
      <c r="I31" s="317">
        <f t="shared" si="7"/>
        <v>6938400</v>
      </c>
      <c r="J31" s="316">
        <f t="shared" si="8"/>
        <v>8260</v>
      </c>
      <c r="K31" s="329">
        <f t="shared" si="9"/>
        <v>68.833333333333329</v>
      </c>
    </row>
    <row r="32" spans="2:11" ht="27.75" customHeight="1">
      <c r="B32" s="304">
        <v>7</v>
      </c>
      <c r="C32" s="305">
        <v>775</v>
      </c>
      <c r="D32" s="306">
        <v>2000</v>
      </c>
      <c r="E32" s="307">
        <f t="shared" si="5"/>
        <v>1550000</v>
      </c>
      <c r="F32" s="305">
        <v>30240000</v>
      </c>
      <c r="G32" s="308">
        <v>0.18</v>
      </c>
      <c r="H32" s="309">
        <f t="shared" si="6"/>
        <v>5443200</v>
      </c>
      <c r="I32" s="310">
        <f t="shared" si="7"/>
        <v>6993200</v>
      </c>
      <c r="J32" s="309">
        <f t="shared" si="8"/>
        <v>9023.4838709677424</v>
      </c>
      <c r="K32" s="312">
        <f t="shared" si="9"/>
        <v>69.376984126984127</v>
      </c>
    </row>
    <row r="33" spans="2:13" ht="28.5" customHeight="1">
      <c r="B33" s="7">
        <v>8</v>
      </c>
      <c r="C33" s="1">
        <v>710</v>
      </c>
      <c r="D33" s="313">
        <v>1500</v>
      </c>
      <c r="E33" s="314">
        <f t="shared" si="5"/>
        <v>1065000</v>
      </c>
      <c r="F33" s="227">
        <v>30240000</v>
      </c>
      <c r="G33" s="315">
        <v>0.2</v>
      </c>
      <c r="H33" s="316">
        <f t="shared" si="6"/>
        <v>6048000</v>
      </c>
      <c r="I33" s="317">
        <f t="shared" si="7"/>
        <v>7113000</v>
      </c>
      <c r="J33" s="316">
        <f t="shared" si="8"/>
        <v>10018.30985915493</v>
      </c>
      <c r="K33" s="329">
        <f t="shared" si="9"/>
        <v>70.56547619047619</v>
      </c>
    </row>
    <row r="34" spans="2:13" ht="27.75" customHeight="1">
      <c r="B34" s="304">
        <v>9</v>
      </c>
      <c r="C34" s="305">
        <v>654</v>
      </c>
      <c r="D34" s="306">
        <v>1000</v>
      </c>
      <c r="E34" s="307">
        <f t="shared" si="5"/>
        <v>654000</v>
      </c>
      <c r="F34" s="305">
        <v>30240000</v>
      </c>
      <c r="G34" s="308">
        <v>0.22</v>
      </c>
      <c r="H34" s="309">
        <f t="shared" si="6"/>
        <v>6652800</v>
      </c>
      <c r="I34" s="310">
        <f t="shared" si="7"/>
        <v>7306800</v>
      </c>
      <c r="J34" s="309">
        <f t="shared" si="8"/>
        <v>11172.477064220184</v>
      </c>
      <c r="K34" s="312">
        <f t="shared" si="9"/>
        <v>72.488095238095241</v>
      </c>
    </row>
    <row r="35" spans="2:13" ht="29.25" customHeight="1">
      <c r="B35" s="7">
        <v>10</v>
      </c>
      <c r="C35" s="1">
        <v>622</v>
      </c>
      <c r="D35" s="313">
        <v>750</v>
      </c>
      <c r="E35" s="314">
        <f t="shared" si="5"/>
        <v>466500</v>
      </c>
      <c r="F35" s="227">
        <v>30240000</v>
      </c>
      <c r="G35" s="315">
        <v>0.24</v>
      </c>
      <c r="H35" s="316">
        <f t="shared" si="6"/>
        <v>7257600</v>
      </c>
      <c r="I35" s="317">
        <f t="shared" si="7"/>
        <v>7724100</v>
      </c>
      <c r="J35" s="316">
        <f t="shared" si="8"/>
        <v>12418.167202572347</v>
      </c>
      <c r="K35" s="329">
        <f t="shared" si="9"/>
        <v>76.62797619047619</v>
      </c>
    </row>
    <row r="36" spans="2:13" ht="28.5" customHeight="1">
      <c r="B36" s="304">
        <v>11</v>
      </c>
      <c r="C36" s="305">
        <v>579</v>
      </c>
      <c r="D36" s="306">
        <v>500</v>
      </c>
      <c r="E36" s="307">
        <f t="shared" si="5"/>
        <v>289500</v>
      </c>
      <c r="F36" s="305">
        <v>30240000</v>
      </c>
      <c r="G36" s="308">
        <v>0.26</v>
      </c>
      <c r="H36" s="309">
        <f t="shared" si="6"/>
        <v>7862400</v>
      </c>
      <c r="I36" s="310">
        <f t="shared" si="7"/>
        <v>8151900</v>
      </c>
      <c r="J36" s="309">
        <f t="shared" si="8"/>
        <v>14079.274611398963</v>
      </c>
      <c r="K36" s="312">
        <f t="shared" si="9"/>
        <v>80.87202380952381</v>
      </c>
    </row>
    <row r="37" spans="2:13" ht="27.75" customHeight="1">
      <c r="B37" s="7">
        <v>12</v>
      </c>
      <c r="C37" s="1">
        <v>542</v>
      </c>
      <c r="D37" s="313">
        <v>250</v>
      </c>
      <c r="E37" s="314">
        <f t="shared" si="5"/>
        <v>135500</v>
      </c>
      <c r="F37" s="227">
        <v>30240000</v>
      </c>
      <c r="G37" s="315">
        <v>0.28000000000000003</v>
      </c>
      <c r="H37" s="316">
        <f t="shared" si="6"/>
        <v>8467200</v>
      </c>
      <c r="I37" s="317">
        <f t="shared" si="7"/>
        <v>8602700</v>
      </c>
      <c r="J37" s="316">
        <f t="shared" si="8"/>
        <v>15872.140221402215</v>
      </c>
      <c r="K37" s="329">
        <f t="shared" si="9"/>
        <v>85.344246031746039</v>
      </c>
    </row>
    <row r="39" spans="2:13" s="330" customFormat="1"/>
    <row r="41" spans="2:13" ht="15.75">
      <c r="B41" s="40" t="s">
        <v>578</v>
      </c>
    </row>
    <row r="42" spans="2:13">
      <c r="B42" s="33" t="s">
        <v>591</v>
      </c>
    </row>
    <row r="44" spans="2:13" ht="40.5">
      <c r="B44" s="301" t="s">
        <v>580</v>
      </c>
      <c r="C44" s="301" t="s">
        <v>581</v>
      </c>
      <c r="D44" s="301" t="s">
        <v>582</v>
      </c>
      <c r="E44" s="301" t="s">
        <v>583</v>
      </c>
      <c r="F44" s="301" t="s">
        <v>589</v>
      </c>
      <c r="G44" s="302" t="s">
        <v>584</v>
      </c>
      <c r="H44" s="301" t="s">
        <v>585</v>
      </c>
      <c r="I44" s="301" t="s">
        <v>586</v>
      </c>
      <c r="J44" s="301" t="s">
        <v>587</v>
      </c>
      <c r="K44" s="301" t="s">
        <v>588</v>
      </c>
    </row>
    <row r="45" spans="2:13" ht="27.75" customHeight="1">
      <c r="B45" s="304">
        <v>1</v>
      </c>
      <c r="C45" s="305">
        <v>1527</v>
      </c>
      <c r="D45" s="306">
        <v>5000</v>
      </c>
      <c r="E45" s="307">
        <f>C45*D45</f>
        <v>7635000</v>
      </c>
      <c r="F45" s="305">
        <v>38880000</v>
      </c>
      <c r="G45" s="308">
        <v>0.06</v>
      </c>
      <c r="H45" s="309">
        <f>F45*G45</f>
        <v>2332800</v>
      </c>
      <c r="I45" s="310">
        <f>E45+H45</f>
        <v>9967800</v>
      </c>
      <c r="J45" s="311">
        <f>I45/C45</f>
        <v>6527.7013752455796</v>
      </c>
      <c r="K45" s="312">
        <f>I45/162000</f>
        <v>61.529629629629632</v>
      </c>
      <c r="M45" s="33">
        <f>38880000/240</f>
        <v>162000</v>
      </c>
    </row>
    <row r="46" spans="2:13" ht="29.25" customHeight="1">
      <c r="B46" s="7">
        <v>2</v>
      </c>
      <c r="C46" s="1">
        <v>1292</v>
      </c>
      <c r="D46" s="313">
        <v>4500</v>
      </c>
      <c r="E46" s="314">
        <f t="shared" ref="E46:E56" si="10">C46*D46</f>
        <v>5814000</v>
      </c>
      <c r="F46" s="1">
        <v>38880000</v>
      </c>
      <c r="G46" s="315">
        <v>0.08</v>
      </c>
      <c r="H46" s="316">
        <f t="shared" ref="H46:H56" si="11">F46*G46</f>
        <v>3110400</v>
      </c>
      <c r="I46" s="317">
        <f t="shared" ref="I46:I56" si="12">E46+H46</f>
        <v>8924400</v>
      </c>
      <c r="J46" s="318">
        <f t="shared" ref="J46:J56" si="13">I46/C46</f>
        <v>6907.4303405572755</v>
      </c>
      <c r="K46" s="329">
        <f t="shared" ref="K46:K56" si="14">I46/162000</f>
        <v>55.088888888888889</v>
      </c>
    </row>
    <row r="47" spans="2:13" ht="29.25" customHeight="1">
      <c r="B47" s="304">
        <v>3</v>
      </c>
      <c r="C47" s="305">
        <v>1145</v>
      </c>
      <c r="D47" s="306">
        <v>4000</v>
      </c>
      <c r="E47" s="307">
        <f t="shared" si="10"/>
        <v>4580000</v>
      </c>
      <c r="F47" s="305">
        <v>38880000</v>
      </c>
      <c r="G47" s="308">
        <v>0.1</v>
      </c>
      <c r="H47" s="309">
        <f t="shared" si="11"/>
        <v>3888000</v>
      </c>
      <c r="I47" s="310">
        <f t="shared" si="12"/>
        <v>8468000</v>
      </c>
      <c r="J47" s="311">
        <f t="shared" si="13"/>
        <v>7395.6331877729253</v>
      </c>
      <c r="K47" s="312">
        <f t="shared" si="14"/>
        <v>52.271604938271608</v>
      </c>
    </row>
    <row r="48" spans="2:13" ht="28.5" customHeight="1">
      <c r="B48" s="7">
        <v>4</v>
      </c>
      <c r="C48" s="1">
        <v>1029</v>
      </c>
      <c r="D48" s="313">
        <v>3500</v>
      </c>
      <c r="E48" s="314">
        <f t="shared" si="10"/>
        <v>3601500</v>
      </c>
      <c r="F48" s="1">
        <v>38880000</v>
      </c>
      <c r="G48" s="315">
        <v>0.12</v>
      </c>
      <c r="H48" s="316">
        <f t="shared" si="11"/>
        <v>4665600</v>
      </c>
      <c r="I48" s="317">
        <f t="shared" si="12"/>
        <v>8267100</v>
      </c>
      <c r="J48" s="318">
        <f t="shared" si="13"/>
        <v>8034.1107871720114</v>
      </c>
      <c r="K48" s="329">
        <f t="shared" si="14"/>
        <v>51.031481481481478</v>
      </c>
    </row>
    <row r="49" spans="2:11" ht="29.25" customHeight="1">
      <c r="B49" s="304">
        <v>5</v>
      </c>
      <c r="C49" s="305">
        <v>916</v>
      </c>
      <c r="D49" s="306">
        <v>3000</v>
      </c>
      <c r="E49" s="307">
        <f t="shared" si="10"/>
        <v>2748000</v>
      </c>
      <c r="F49" s="305">
        <v>38880000</v>
      </c>
      <c r="G49" s="308">
        <v>0.14000000000000001</v>
      </c>
      <c r="H49" s="309">
        <f t="shared" si="11"/>
        <v>5443200.0000000009</v>
      </c>
      <c r="I49" s="310">
        <f t="shared" si="12"/>
        <v>8191200.0000000009</v>
      </c>
      <c r="J49" s="311">
        <f t="shared" si="13"/>
        <v>8942.3580786026214</v>
      </c>
      <c r="K49" s="312">
        <f t="shared" si="14"/>
        <v>50.56296296296297</v>
      </c>
    </row>
    <row r="50" spans="2:11" ht="28.5" customHeight="1">
      <c r="B50" s="7">
        <v>6</v>
      </c>
      <c r="C50" s="1">
        <v>840</v>
      </c>
      <c r="D50" s="313">
        <v>2500</v>
      </c>
      <c r="E50" s="314">
        <f t="shared" si="10"/>
        <v>2100000</v>
      </c>
      <c r="F50" s="1">
        <v>38880000</v>
      </c>
      <c r="G50" s="315">
        <v>0.16</v>
      </c>
      <c r="H50" s="316">
        <f t="shared" si="11"/>
        <v>6220800</v>
      </c>
      <c r="I50" s="317">
        <f t="shared" si="12"/>
        <v>8320800</v>
      </c>
      <c r="J50" s="318">
        <f t="shared" si="13"/>
        <v>9905.7142857142862</v>
      </c>
      <c r="K50" s="329">
        <f t="shared" si="14"/>
        <v>51.36296296296296</v>
      </c>
    </row>
    <row r="51" spans="2:11" ht="30" customHeight="1">
      <c r="B51" s="304">
        <v>7</v>
      </c>
      <c r="C51" s="305">
        <v>775</v>
      </c>
      <c r="D51" s="306">
        <v>2000</v>
      </c>
      <c r="E51" s="307">
        <f t="shared" si="10"/>
        <v>1550000</v>
      </c>
      <c r="F51" s="305">
        <v>38880000</v>
      </c>
      <c r="G51" s="308">
        <v>0.18</v>
      </c>
      <c r="H51" s="309">
        <f t="shared" si="11"/>
        <v>6998400</v>
      </c>
      <c r="I51" s="310">
        <f t="shared" si="12"/>
        <v>8548400</v>
      </c>
      <c r="J51" s="311">
        <f t="shared" si="13"/>
        <v>11030.193548387097</v>
      </c>
      <c r="K51" s="312">
        <f t="shared" si="14"/>
        <v>52.767901234567901</v>
      </c>
    </row>
    <row r="52" spans="2:11" ht="30" customHeight="1">
      <c r="B52" s="7">
        <v>8</v>
      </c>
      <c r="C52" s="1">
        <v>710</v>
      </c>
      <c r="D52" s="313">
        <v>1500</v>
      </c>
      <c r="E52" s="314">
        <f t="shared" si="10"/>
        <v>1065000</v>
      </c>
      <c r="F52" s="1">
        <v>38880000</v>
      </c>
      <c r="G52" s="315">
        <v>0.2</v>
      </c>
      <c r="H52" s="316">
        <f t="shared" si="11"/>
        <v>7776000</v>
      </c>
      <c r="I52" s="317">
        <f t="shared" si="12"/>
        <v>8841000</v>
      </c>
      <c r="J52" s="318">
        <f t="shared" si="13"/>
        <v>12452.112676056338</v>
      </c>
      <c r="K52" s="329">
        <f t="shared" si="14"/>
        <v>54.574074074074076</v>
      </c>
    </row>
    <row r="53" spans="2:11" ht="28.5" customHeight="1">
      <c r="B53" s="304">
        <v>9</v>
      </c>
      <c r="C53" s="305">
        <v>654</v>
      </c>
      <c r="D53" s="306">
        <v>1000</v>
      </c>
      <c r="E53" s="307">
        <f t="shared" si="10"/>
        <v>654000</v>
      </c>
      <c r="F53" s="305">
        <v>38880000</v>
      </c>
      <c r="G53" s="308">
        <v>0.22</v>
      </c>
      <c r="H53" s="309">
        <f t="shared" si="11"/>
        <v>8553600</v>
      </c>
      <c r="I53" s="310">
        <f t="shared" si="12"/>
        <v>9207600</v>
      </c>
      <c r="J53" s="311">
        <f t="shared" si="13"/>
        <v>14078.899082568807</v>
      </c>
      <c r="K53" s="312">
        <f t="shared" si="14"/>
        <v>56.837037037037035</v>
      </c>
    </row>
    <row r="54" spans="2:11" ht="28.5" customHeight="1">
      <c r="B54" s="7">
        <v>10</v>
      </c>
      <c r="C54" s="1">
        <v>622</v>
      </c>
      <c r="D54" s="313">
        <v>750</v>
      </c>
      <c r="E54" s="314">
        <f t="shared" si="10"/>
        <v>466500</v>
      </c>
      <c r="F54" s="1">
        <v>38880000</v>
      </c>
      <c r="G54" s="315">
        <v>0.24</v>
      </c>
      <c r="H54" s="316">
        <f t="shared" si="11"/>
        <v>9331200</v>
      </c>
      <c r="I54" s="317">
        <f t="shared" si="12"/>
        <v>9797700</v>
      </c>
      <c r="J54" s="318">
        <f t="shared" si="13"/>
        <v>15751.929260450161</v>
      </c>
      <c r="K54" s="329">
        <f t="shared" si="14"/>
        <v>60.479629629629628</v>
      </c>
    </row>
    <row r="55" spans="2:11" ht="26.25" customHeight="1">
      <c r="B55" s="304">
        <v>11</v>
      </c>
      <c r="C55" s="305">
        <v>579</v>
      </c>
      <c r="D55" s="306">
        <v>500</v>
      </c>
      <c r="E55" s="307">
        <f t="shared" si="10"/>
        <v>289500</v>
      </c>
      <c r="F55" s="305">
        <v>38880000</v>
      </c>
      <c r="G55" s="308">
        <v>0.26</v>
      </c>
      <c r="H55" s="309">
        <f t="shared" si="11"/>
        <v>10108800</v>
      </c>
      <c r="I55" s="310">
        <f t="shared" si="12"/>
        <v>10398300</v>
      </c>
      <c r="J55" s="311">
        <f t="shared" si="13"/>
        <v>17959.067357512955</v>
      </c>
      <c r="K55" s="312">
        <f t="shared" si="14"/>
        <v>64.187037037037044</v>
      </c>
    </row>
    <row r="56" spans="2:11" ht="27.75" customHeight="1">
      <c r="B56" s="7">
        <v>12</v>
      </c>
      <c r="C56" s="1">
        <v>592</v>
      </c>
      <c r="D56" s="313">
        <v>250</v>
      </c>
      <c r="E56" s="314">
        <f t="shared" si="10"/>
        <v>148000</v>
      </c>
      <c r="F56" s="1">
        <v>38880000</v>
      </c>
      <c r="G56" s="315">
        <v>0.28000000000000003</v>
      </c>
      <c r="H56" s="316">
        <f t="shared" si="11"/>
        <v>10886400.000000002</v>
      </c>
      <c r="I56" s="317">
        <f t="shared" si="12"/>
        <v>11034400.000000002</v>
      </c>
      <c r="J56" s="318">
        <f t="shared" si="13"/>
        <v>18639.189189189194</v>
      </c>
      <c r="K56" s="329">
        <f t="shared" si="14"/>
        <v>68.113580246913585</v>
      </c>
    </row>
  </sheetData>
  <pageMargins left="0.7" right="0.7" top="0.75" bottom="0.75" header="0.3" footer="0.3"/>
  <pageSetup scale="9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C3:E16"/>
  <sheetViews>
    <sheetView workbookViewId="0">
      <selection activeCell="E15" sqref="E15"/>
    </sheetView>
  </sheetViews>
  <sheetFormatPr defaultRowHeight="15"/>
  <sheetData>
    <row r="3" spans="3:5">
      <c r="C3">
        <v>4444000</v>
      </c>
    </row>
    <row r="4" spans="3:5">
      <c r="C4">
        <v>299100</v>
      </c>
    </row>
    <row r="5" spans="3:5">
      <c r="C5">
        <v>1071000</v>
      </c>
    </row>
    <row r="6" spans="3:5">
      <c r="C6">
        <v>45000</v>
      </c>
    </row>
    <row r="7" spans="3:5">
      <c r="C7">
        <v>180000</v>
      </c>
    </row>
    <row r="8" spans="3:5">
      <c r="C8">
        <v>73125</v>
      </c>
    </row>
    <row r="9" spans="3:5">
      <c r="C9">
        <f>SUM(C3:C8)</f>
        <v>6112225</v>
      </c>
    </row>
    <row r="11" spans="3:5">
      <c r="C11">
        <v>480000</v>
      </c>
    </row>
    <row r="12" spans="3:5">
      <c r="C12">
        <v>180000</v>
      </c>
    </row>
    <row r="13" spans="3:5">
      <c r="C13">
        <v>72024</v>
      </c>
    </row>
    <row r="14" spans="3:5">
      <c r="C14">
        <v>5000</v>
      </c>
      <c r="E14">
        <f>C16-687500</f>
        <v>57024</v>
      </c>
    </row>
    <row r="15" spans="3:5">
      <c r="C15">
        <v>7500</v>
      </c>
    </row>
    <row r="16" spans="3:5">
      <c r="C16">
        <f>SUM(C11:C15)</f>
        <v>744524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C10"/>
  <sheetViews>
    <sheetView workbookViewId="0">
      <selection activeCell="C11" sqref="C11"/>
    </sheetView>
  </sheetViews>
  <sheetFormatPr defaultRowHeight="15"/>
  <sheetData>
    <row r="10" spans="3:3">
      <c r="C10">
        <f>8377000-8688300</f>
        <v>-311300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8" sqref="I18"/>
    </sheetView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B3:L28"/>
  <sheetViews>
    <sheetView topLeftCell="A5" workbookViewId="0">
      <selection activeCell="K22" sqref="K22"/>
    </sheetView>
  </sheetViews>
  <sheetFormatPr defaultRowHeight="12.75"/>
  <cols>
    <col min="1" max="1" width="9.140625" style="33"/>
    <col min="2" max="2" width="11.42578125" style="33" bestFit="1" customWidth="1"/>
    <col min="3" max="3" width="9.140625" style="33"/>
    <col min="4" max="4" width="9.5703125" style="33" bestFit="1" customWidth="1"/>
    <col min="5" max="5" width="9.140625" style="33"/>
    <col min="6" max="6" width="13.5703125" style="33" customWidth="1"/>
    <col min="7" max="7" width="11.42578125" style="33" bestFit="1" customWidth="1"/>
    <col min="8" max="8" width="2.42578125" style="33" customWidth="1"/>
    <col min="9" max="16384" width="9.140625" style="33"/>
  </cols>
  <sheetData>
    <row r="3" spans="2:12" ht="18">
      <c r="B3" s="346" t="s">
        <v>622</v>
      </c>
    </row>
    <row r="5" spans="2:12" ht="15.75">
      <c r="B5" s="58" t="s">
        <v>146</v>
      </c>
      <c r="C5" s="58"/>
      <c r="D5" s="58">
        <v>79200</v>
      </c>
      <c r="E5" s="58"/>
      <c r="F5" s="58"/>
      <c r="G5" s="58"/>
      <c r="H5" s="58"/>
      <c r="I5" s="58"/>
      <c r="J5" s="58"/>
      <c r="K5" s="40"/>
      <c r="L5" s="40"/>
    </row>
    <row r="6" spans="2:12" ht="15.75">
      <c r="B6" s="58" t="s">
        <v>478</v>
      </c>
      <c r="C6" s="58"/>
      <c r="D6" s="58">
        <v>79200</v>
      </c>
      <c r="E6" s="58"/>
      <c r="F6" s="58"/>
      <c r="G6" s="58">
        <v>1267200</v>
      </c>
      <c r="H6" s="58"/>
      <c r="I6" s="58" t="s">
        <v>623</v>
      </c>
      <c r="J6" s="58"/>
      <c r="K6" s="40"/>
      <c r="L6" s="40"/>
    </row>
    <row r="7" spans="2:12" ht="15.75">
      <c r="B7" s="347" t="s">
        <v>78</v>
      </c>
      <c r="C7" s="347"/>
      <c r="D7" s="347">
        <f>SUM(D5:D6)</f>
        <v>158400</v>
      </c>
      <c r="E7" s="450" t="s">
        <v>624</v>
      </c>
      <c r="F7" s="450"/>
      <c r="G7" s="348">
        <v>380160</v>
      </c>
      <c r="H7" s="348"/>
      <c r="I7" s="348" t="s">
        <v>625</v>
      </c>
      <c r="J7" s="348"/>
      <c r="K7" s="40"/>
      <c r="L7" s="40"/>
    </row>
    <row r="8" spans="2:12" ht="15.75">
      <c r="B8" s="58"/>
      <c r="C8" s="58"/>
      <c r="D8" s="58"/>
      <c r="E8" s="58"/>
      <c r="F8" s="58" t="s">
        <v>155</v>
      </c>
      <c r="G8" s="58">
        <f>SUM(G6:G7)</f>
        <v>1647360</v>
      </c>
      <c r="H8" s="58"/>
      <c r="I8" s="58"/>
      <c r="J8" s="58"/>
      <c r="K8" s="40"/>
      <c r="L8" s="40"/>
    </row>
    <row r="9" spans="2:12" ht="15.7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12" ht="15.75">
      <c r="B10" s="40" t="s">
        <v>626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2:12" ht="15.7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2:12" ht="15.75">
      <c r="B12" s="350">
        <v>1647360</v>
      </c>
      <c r="C12" s="40" t="s">
        <v>49</v>
      </c>
      <c r="D12" s="349">
        <f>B12/B13</f>
        <v>48.011191419911398</v>
      </c>
      <c r="E12" s="61" t="s">
        <v>627</v>
      </c>
      <c r="F12" s="40"/>
      <c r="G12" s="40"/>
      <c r="H12" s="40"/>
      <c r="I12" s="40"/>
      <c r="J12" s="40"/>
      <c r="K12" s="40"/>
      <c r="L12" s="40"/>
    </row>
    <row r="13" spans="2:12" ht="15.75">
      <c r="B13" s="59">
        <v>34312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2:12" ht="15.75">
      <c r="B14" s="58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2:12" ht="15.75">
      <c r="B15" s="350">
        <v>1647360</v>
      </c>
      <c r="C15" s="40" t="s">
        <v>49</v>
      </c>
      <c r="D15" s="349">
        <f>B15/B16</f>
        <v>8.6666666666666661</v>
      </c>
      <c r="E15" s="61" t="s">
        <v>628</v>
      </c>
      <c r="F15" s="40"/>
      <c r="G15" s="40"/>
      <c r="H15" s="40"/>
      <c r="I15" s="40"/>
      <c r="J15" s="40"/>
      <c r="K15" s="40"/>
      <c r="L15" s="40"/>
    </row>
    <row r="16" spans="2:12" ht="15.75">
      <c r="B16" s="59">
        <v>190080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2:12" ht="15.7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2:12" ht="15.75">
      <c r="B18" s="40" t="s">
        <v>629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ht="15.7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ht="15.7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ht="15.75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2" ht="15.75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2:12" ht="15.75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2:12" ht="15.75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2:12" ht="15.7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2:12" ht="15.7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2:12" ht="15.7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2:12" ht="15.75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</sheetData>
  <mergeCells count="1">
    <mergeCell ref="E7:F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F26"/>
  <sheetViews>
    <sheetView topLeftCell="A16" workbookViewId="0">
      <selection activeCell="H30" sqref="H30"/>
    </sheetView>
  </sheetViews>
  <sheetFormatPr defaultRowHeight="15"/>
  <cols>
    <col min="4" max="4" width="10.28515625" bestFit="1" customWidth="1"/>
    <col min="5" max="6" width="13.85546875" bestFit="1" customWidth="1"/>
  </cols>
  <sheetData>
    <row r="2" spans="2:6">
      <c r="B2" s="12" t="s">
        <v>45</v>
      </c>
      <c r="C2" s="12"/>
      <c r="D2" s="12"/>
      <c r="E2" s="12"/>
      <c r="F2" s="1"/>
    </row>
    <row r="3" spans="2:6">
      <c r="B3" s="12" t="s">
        <v>46</v>
      </c>
      <c r="C3" s="12"/>
      <c r="D3" s="12"/>
      <c r="E3" s="12"/>
      <c r="F3" s="1"/>
    </row>
    <row r="4" spans="2:6">
      <c r="B4" s="1"/>
      <c r="C4" s="1"/>
      <c r="D4" s="1"/>
      <c r="E4" s="1"/>
      <c r="F4" s="1"/>
    </row>
    <row r="5" spans="2:6">
      <c r="B5" s="1"/>
      <c r="C5" s="1"/>
      <c r="D5" s="6" t="s">
        <v>47</v>
      </c>
      <c r="E5" s="6" t="s">
        <v>48</v>
      </c>
      <c r="F5" s="6" t="s">
        <v>48</v>
      </c>
    </row>
    <row r="6" spans="2:6" ht="18.75">
      <c r="B6" s="12" t="s">
        <v>29</v>
      </c>
      <c r="C6" s="1"/>
      <c r="D6" s="24">
        <v>75000</v>
      </c>
      <c r="E6" s="25">
        <v>69300</v>
      </c>
      <c r="F6" s="25">
        <v>65400</v>
      </c>
    </row>
    <row r="7" spans="2:6" ht="18.75">
      <c r="B7" s="12" t="s">
        <v>17</v>
      </c>
      <c r="C7" s="1"/>
      <c r="D7" s="26">
        <v>19008</v>
      </c>
      <c r="E7" s="27">
        <v>24728</v>
      </c>
      <c r="F7" s="27">
        <v>24278</v>
      </c>
    </row>
    <row r="8" spans="2:6" ht="18.75">
      <c r="B8" s="1"/>
      <c r="C8" s="1"/>
      <c r="D8" s="24">
        <f>D6-D7</f>
        <v>55992</v>
      </c>
      <c r="E8" s="25">
        <f t="shared" ref="E8:F8" si="0">E6-E7</f>
        <v>44572</v>
      </c>
      <c r="F8" s="25">
        <f t="shared" si="0"/>
        <v>41122</v>
      </c>
    </row>
    <row r="9" spans="2:6">
      <c r="B9" s="1"/>
      <c r="C9" s="1"/>
      <c r="D9" s="2"/>
      <c r="E9" s="3"/>
      <c r="F9" s="3"/>
    </row>
    <row r="11" spans="2:6">
      <c r="E11" s="21"/>
    </row>
    <row r="12" spans="2:6">
      <c r="E12" s="22"/>
    </row>
    <row r="13" spans="2:6">
      <c r="E13" s="21"/>
    </row>
    <row r="14" spans="2:6">
      <c r="E14" s="21"/>
    </row>
    <row r="15" spans="2:6">
      <c r="E15" s="22"/>
    </row>
    <row r="16" spans="2:6">
      <c r="E16" s="21"/>
    </row>
    <row r="17" spans="2:6">
      <c r="E17" s="21"/>
    </row>
    <row r="18" spans="2:6">
      <c r="E18" s="21"/>
    </row>
    <row r="19" spans="2:6" s="23" customFormat="1" ht="2.25" customHeight="1"/>
    <row r="21" spans="2:6">
      <c r="B21" s="12" t="s">
        <v>15</v>
      </c>
      <c r="C21" s="12"/>
      <c r="D21" s="12"/>
    </row>
    <row r="23" spans="2:6">
      <c r="D23" s="6" t="s">
        <v>47</v>
      </c>
      <c r="F23" s="6" t="s">
        <v>48</v>
      </c>
    </row>
    <row r="24" spans="2:6" ht="18.75">
      <c r="D24" s="24">
        <v>78000</v>
      </c>
      <c r="E24" s="28"/>
      <c r="F24" s="25">
        <v>92300</v>
      </c>
    </row>
    <row r="25" spans="2:6" ht="18.75">
      <c r="D25" s="26">
        <v>16296</v>
      </c>
      <c r="E25" s="28"/>
      <c r="F25" s="27">
        <v>31296</v>
      </c>
    </row>
    <row r="26" spans="2:6" ht="18.75">
      <c r="D26" s="24">
        <f>D24-D25</f>
        <v>61704</v>
      </c>
      <c r="E26" s="28"/>
      <c r="F26" s="25">
        <f>F24-F25</f>
        <v>61004</v>
      </c>
    </row>
  </sheetData>
  <pageMargins left="0.7" right="0.7" top="0.75" bottom="0.75" header="0.3" footer="0.3"/>
  <pageSetup orientation="portrait" r:id="rId1"/>
  <legacyDrawing r:id="rId2"/>
  <oleObjects>
    <oleObject progId="Equation.3" shapeId="2049" r:id="rId3"/>
    <oleObject progId="Equation.3" shapeId="2050" r:id="rId4"/>
    <oleObject progId="Equation.3" shapeId="2052" r:id="rId5"/>
    <oleObject progId="Equation.3" shapeId="2053" r:id="rId6"/>
    <oleObject progId="Equation.3" shapeId="2055" r:id="rId7"/>
    <oleObject progId="Equation.3" shapeId="2056" r:id="rId8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C4:L10"/>
  <sheetViews>
    <sheetView topLeftCell="A4" workbookViewId="0">
      <selection activeCell="F11" sqref="F11"/>
    </sheetView>
  </sheetViews>
  <sheetFormatPr defaultRowHeight="15"/>
  <sheetData>
    <row r="4" spans="3:12">
      <c r="C4" t="s">
        <v>50</v>
      </c>
    </row>
    <row r="9" spans="3:12">
      <c r="F9">
        <f>8688299/0.3723</f>
        <v>23336822.455009401</v>
      </c>
      <c r="L9">
        <f>8688299/0.3723</f>
        <v>23336822.455009401</v>
      </c>
    </row>
    <row r="10" spans="3:12">
      <c r="F10">
        <f>8688299/111.7</f>
        <v>77782.444046553268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72"/>
  <sheetViews>
    <sheetView topLeftCell="A19" zoomScaleNormal="100" workbookViewId="0">
      <selection activeCell="L72" sqref="L72"/>
    </sheetView>
  </sheetViews>
  <sheetFormatPr defaultRowHeight="12.75"/>
  <cols>
    <col min="1" max="1" width="9.140625" style="33"/>
    <col min="2" max="2" width="4.7109375" style="33" customWidth="1"/>
    <col min="3" max="3" width="4" style="33" customWidth="1"/>
    <col min="4" max="16384" width="9.140625" style="33"/>
  </cols>
  <sheetData>
    <row r="3" spans="2:12" ht="15">
      <c r="B3" s="375" t="s">
        <v>51</v>
      </c>
      <c r="C3" s="375"/>
      <c r="D3" s="375"/>
      <c r="E3" s="375"/>
      <c r="F3" s="375"/>
      <c r="G3" s="375"/>
      <c r="H3" s="375"/>
      <c r="I3" s="375"/>
      <c r="J3" s="375"/>
      <c r="K3" s="375"/>
    </row>
    <row r="4" spans="2:12"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2:12" ht="14.25">
      <c r="G5" s="376" t="s">
        <v>86</v>
      </c>
      <c r="H5" s="376"/>
      <c r="I5" s="376"/>
      <c r="J5" s="376"/>
      <c r="K5" s="376"/>
      <c r="L5" s="376"/>
    </row>
    <row r="6" spans="2:12">
      <c r="B6" s="33" t="s">
        <v>52</v>
      </c>
    </row>
    <row r="7" spans="2:12">
      <c r="C7" s="33" t="s">
        <v>53</v>
      </c>
      <c r="I7" s="33" t="s">
        <v>85</v>
      </c>
    </row>
    <row r="8" spans="2:12">
      <c r="C8" s="33" t="s">
        <v>54</v>
      </c>
    </row>
    <row r="9" spans="2:12">
      <c r="D9" s="33" t="s">
        <v>55</v>
      </c>
      <c r="I9" s="35"/>
    </row>
    <row r="10" spans="2:12">
      <c r="D10" s="33" t="s">
        <v>56</v>
      </c>
      <c r="I10" s="36"/>
    </row>
    <row r="11" spans="2:12">
      <c r="D11" s="33" t="s">
        <v>57</v>
      </c>
      <c r="I11" s="36"/>
    </row>
    <row r="12" spans="2:12">
      <c r="D12" s="33" t="s">
        <v>58</v>
      </c>
      <c r="I12" s="36"/>
    </row>
    <row r="13" spans="2:12">
      <c r="D13" s="33" t="s">
        <v>59</v>
      </c>
      <c r="I13" s="36"/>
    </row>
    <row r="14" spans="2:12">
      <c r="D14" s="33" t="s">
        <v>12</v>
      </c>
      <c r="I14" s="36"/>
    </row>
    <row r="15" spans="2:12" ht="15">
      <c r="D15" s="33" t="s">
        <v>60</v>
      </c>
      <c r="I15" s="35"/>
      <c r="K15" s="379">
        <v>6111225</v>
      </c>
      <c r="L15" s="379"/>
    </row>
    <row r="17" spans="3:12">
      <c r="C17" s="33" t="s">
        <v>15</v>
      </c>
    </row>
    <row r="18" spans="3:12">
      <c r="D18" s="33" t="s">
        <v>61</v>
      </c>
      <c r="I18" s="35"/>
    </row>
    <row r="19" spans="3:12">
      <c r="D19" s="33" t="s">
        <v>62</v>
      </c>
      <c r="I19" s="36"/>
    </row>
    <row r="20" spans="3:12">
      <c r="D20" s="33" t="s">
        <v>63</v>
      </c>
      <c r="I20" s="36"/>
    </row>
    <row r="21" spans="3:12">
      <c r="D21" s="33" t="s">
        <v>64</v>
      </c>
      <c r="I21" s="36"/>
    </row>
    <row r="22" spans="3:12" ht="15">
      <c r="D22" s="33" t="s">
        <v>65</v>
      </c>
      <c r="I22" s="36"/>
      <c r="K22" s="379">
        <v>687500</v>
      </c>
      <c r="L22" s="379"/>
    </row>
    <row r="24" spans="3:12">
      <c r="C24" s="33" t="s">
        <v>19</v>
      </c>
    </row>
    <row r="25" spans="3:12">
      <c r="D25" s="33" t="s">
        <v>66</v>
      </c>
      <c r="I25" s="35"/>
    </row>
    <row r="26" spans="3:12">
      <c r="D26" s="33" t="s">
        <v>29</v>
      </c>
      <c r="I26" s="36"/>
    </row>
    <row r="27" spans="3:12">
      <c r="D27" s="33" t="s">
        <v>67</v>
      </c>
      <c r="I27" s="36"/>
    </row>
    <row r="28" spans="3:12">
      <c r="D28" s="33" t="s">
        <v>68</v>
      </c>
      <c r="I28" s="36"/>
    </row>
    <row r="29" spans="3:12">
      <c r="D29" s="33" t="s">
        <v>69</v>
      </c>
      <c r="I29" s="36"/>
    </row>
    <row r="30" spans="3:12">
      <c r="D30" s="33" t="s">
        <v>70</v>
      </c>
      <c r="I30" s="36"/>
    </row>
    <row r="31" spans="3:12">
      <c r="D31" s="33" t="s">
        <v>64</v>
      </c>
      <c r="I31" s="36"/>
    </row>
    <row r="32" spans="3:12">
      <c r="D32" s="33" t="s">
        <v>71</v>
      </c>
      <c r="I32" s="36"/>
    </row>
    <row r="33" spans="2:12" ht="15.75" thickBot="1">
      <c r="D33" s="33" t="s">
        <v>72</v>
      </c>
      <c r="I33" s="36"/>
      <c r="K33" s="380">
        <v>1889574</v>
      </c>
      <c r="L33" s="380"/>
    </row>
    <row r="34" spans="2:12" ht="15.75" thickBot="1">
      <c r="E34" s="383" t="s">
        <v>73</v>
      </c>
      <c r="F34" s="384"/>
      <c r="K34" s="381">
        <v>8688299</v>
      </c>
      <c r="L34" s="382"/>
    </row>
    <row r="36" spans="2:12">
      <c r="B36" s="33" t="s">
        <v>74</v>
      </c>
    </row>
    <row r="37" spans="2:12">
      <c r="C37" s="33" t="s">
        <v>54</v>
      </c>
      <c r="H37" s="33" t="s">
        <v>7</v>
      </c>
      <c r="J37" s="33" t="s">
        <v>8</v>
      </c>
    </row>
    <row r="38" spans="2:12">
      <c r="D38" s="33" t="s">
        <v>75</v>
      </c>
      <c r="H38" s="35"/>
      <c r="J38" s="35"/>
    </row>
    <row r="39" spans="2:12">
      <c r="D39" s="33" t="s">
        <v>76</v>
      </c>
      <c r="H39" s="36"/>
      <c r="J39" s="36"/>
    </row>
    <row r="40" spans="2:12">
      <c r="D40" s="33" t="s">
        <v>9</v>
      </c>
      <c r="H40" s="36"/>
      <c r="J40" s="36"/>
    </row>
    <row r="41" spans="2:12">
      <c r="D41" s="33" t="s">
        <v>77</v>
      </c>
      <c r="H41" s="36"/>
      <c r="J41" s="36"/>
    </row>
    <row r="42" spans="2:12">
      <c r="D42" s="33" t="s">
        <v>11</v>
      </c>
      <c r="H42" s="36"/>
      <c r="J42" s="36"/>
    </row>
    <row r="43" spans="2:12">
      <c r="D43" s="33" t="s">
        <v>12</v>
      </c>
      <c r="H43" s="36"/>
      <c r="J43" s="36"/>
    </row>
    <row r="44" spans="2:12" ht="15">
      <c r="E44" s="33" t="s">
        <v>78</v>
      </c>
      <c r="H44" s="36"/>
      <c r="J44" s="30">
        <v>45.98</v>
      </c>
    </row>
    <row r="45" spans="2:12" ht="15">
      <c r="H45" s="37"/>
      <c r="J45" s="31"/>
    </row>
    <row r="46" spans="2:12" ht="15">
      <c r="C46" s="32" t="s">
        <v>19</v>
      </c>
      <c r="H46" s="35"/>
      <c r="J46" s="39">
        <v>138.16999999999999</v>
      </c>
    </row>
    <row r="47" spans="2:12">
      <c r="H47" s="37"/>
      <c r="J47" s="38"/>
    </row>
    <row r="48" spans="2:12" ht="3" customHeight="1"/>
    <row r="49" spans="2:12">
      <c r="C49" s="33" t="s">
        <v>15</v>
      </c>
    </row>
    <row r="50" spans="2:12">
      <c r="D50" s="33" t="s">
        <v>16</v>
      </c>
      <c r="H50" s="35"/>
      <c r="J50" s="35"/>
    </row>
    <row r="51" spans="2:12">
      <c r="D51" s="33" t="s">
        <v>17</v>
      </c>
      <c r="H51" s="36"/>
      <c r="J51" s="36"/>
    </row>
    <row r="52" spans="2:12" ht="16.5" thickBot="1">
      <c r="E52" s="33" t="s">
        <v>78</v>
      </c>
      <c r="H52" s="36"/>
      <c r="J52" s="30">
        <v>4.1500000000000004</v>
      </c>
      <c r="K52" s="40"/>
      <c r="L52" s="40"/>
    </row>
    <row r="53" spans="2:12" ht="16.5" thickBot="1">
      <c r="B53" s="41"/>
      <c r="C53" s="41"/>
      <c r="D53" s="41"/>
      <c r="E53" s="377" t="s">
        <v>79</v>
      </c>
      <c r="F53" s="378"/>
      <c r="J53" s="40"/>
      <c r="K53" s="370">
        <v>188.3</v>
      </c>
      <c r="L53" s="371"/>
    </row>
    <row r="54" spans="2:12" ht="8.25" customHeight="1">
      <c r="J54" s="40"/>
      <c r="K54" s="40"/>
      <c r="L54" s="40"/>
    </row>
    <row r="55" spans="2:12" ht="15.75">
      <c r="B55" s="33" t="s">
        <v>80</v>
      </c>
      <c r="J55" s="40"/>
      <c r="K55" s="372">
        <v>300</v>
      </c>
      <c r="L55" s="372"/>
    </row>
    <row r="56" spans="2:12" ht="15.75">
      <c r="B56" s="33" t="s">
        <v>81</v>
      </c>
      <c r="J56" s="40"/>
      <c r="K56" s="373">
        <v>0.37230000000000002</v>
      </c>
      <c r="L56" s="374"/>
    </row>
    <row r="57" spans="2:12">
      <c r="B57" s="33" t="s">
        <v>82</v>
      </c>
    </row>
    <row r="58" spans="2:12">
      <c r="C58" s="33" t="s">
        <v>83</v>
      </c>
    </row>
    <row r="59" spans="2:12">
      <c r="C59" s="33" t="s">
        <v>84</v>
      </c>
    </row>
    <row r="71" spans="4:12">
      <c r="H71" s="33">
        <f>9000000-5649000</f>
        <v>3351000</v>
      </c>
      <c r="I71" s="33">
        <f>4500000-2824500</f>
        <v>1675500</v>
      </c>
      <c r="J71" s="33">
        <f>13500000-8473000</f>
        <v>5027000</v>
      </c>
      <c r="K71" s="33">
        <f>18000000-11298000</f>
        <v>6702000</v>
      </c>
      <c r="L71" s="33">
        <f>22500000-14123000</f>
        <v>8377000</v>
      </c>
    </row>
    <row r="72" spans="4:12">
      <c r="D72" s="33">
        <v>4500000</v>
      </c>
      <c r="F72" s="33">
        <f>188.3*15000</f>
        <v>2824500</v>
      </c>
    </row>
  </sheetData>
  <mergeCells count="11">
    <mergeCell ref="K53:L53"/>
    <mergeCell ref="K55:L55"/>
    <mergeCell ref="K56:L56"/>
    <mergeCell ref="B3:K3"/>
    <mergeCell ref="G5:L5"/>
    <mergeCell ref="E53:F53"/>
    <mergeCell ref="K15:L15"/>
    <mergeCell ref="K22:L22"/>
    <mergeCell ref="K33:L33"/>
    <mergeCell ref="K34:L34"/>
    <mergeCell ref="E34:F34"/>
  </mergeCells>
  <pageMargins left="0.7" right="0.7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70"/>
  <sheetViews>
    <sheetView topLeftCell="G32" workbookViewId="0">
      <selection activeCell="R52" sqref="R52"/>
    </sheetView>
  </sheetViews>
  <sheetFormatPr defaultRowHeight="14.25"/>
  <cols>
    <col min="1" max="3" width="9.140625" style="1"/>
    <col min="4" max="4" width="3.7109375" style="1" customWidth="1"/>
    <col min="5" max="11" width="9.140625" style="1"/>
    <col min="12" max="12" width="11.42578125" style="1" bestFit="1" customWidth="1"/>
    <col min="13" max="13" width="9.140625" style="6"/>
    <col min="14" max="14" width="9.28515625" style="1" bestFit="1" customWidth="1"/>
    <col min="15" max="15" width="9.140625" style="1"/>
    <col min="16" max="16" width="15.42578125" style="1" bestFit="1" customWidth="1"/>
    <col min="17" max="17" width="9.140625" style="1"/>
    <col min="18" max="18" width="13.5703125" style="1" bestFit="1" customWidth="1"/>
    <col min="19" max="19" width="9.140625" style="6"/>
    <col min="20" max="20" width="9.28515625" style="1" bestFit="1" customWidth="1"/>
    <col min="21" max="21" width="9.140625" style="1"/>
    <col min="22" max="22" width="16.7109375" style="1" bestFit="1" customWidth="1"/>
    <col min="23" max="16384" width="9.140625" style="1"/>
  </cols>
  <sheetData>
    <row r="3" spans="3:9" ht="18.75">
      <c r="C3" s="388" t="s">
        <v>88</v>
      </c>
      <c r="D3" s="388"/>
      <c r="E3" s="388"/>
      <c r="F3" s="388"/>
      <c r="G3" s="388"/>
      <c r="H3" s="388"/>
      <c r="I3" s="388"/>
    </row>
    <row r="5" spans="3:9" ht="15">
      <c r="C5" s="47"/>
      <c r="D5" s="47"/>
      <c r="E5" s="47"/>
      <c r="F5" s="47"/>
      <c r="G5" s="47"/>
      <c r="H5" s="47"/>
      <c r="I5" s="47"/>
    </row>
    <row r="6" spans="3:9" ht="93.75" customHeight="1">
      <c r="E6" s="42"/>
    </row>
    <row r="7" spans="3:9" hidden="1"/>
    <row r="8" spans="3:9">
      <c r="E8" s="42"/>
    </row>
    <row r="9" spans="3:9">
      <c r="D9" s="43"/>
      <c r="E9" s="16"/>
    </row>
    <row r="10" spans="3:9" ht="15" thickBot="1">
      <c r="D10" s="43"/>
      <c r="E10" s="16"/>
    </row>
    <row r="11" spans="3:9" ht="15" thickTop="1">
      <c r="C11" s="385" t="s">
        <v>89</v>
      </c>
      <c r="D11" s="43"/>
      <c r="E11" s="16"/>
    </row>
    <row r="12" spans="3:9">
      <c r="C12" s="387"/>
      <c r="D12" s="16"/>
      <c r="E12" s="48"/>
      <c r="F12" s="49"/>
      <c r="G12" s="49"/>
      <c r="H12" s="49"/>
      <c r="I12" s="49"/>
    </row>
    <row r="13" spans="3:9" ht="15" thickBot="1">
      <c r="C13" s="386"/>
      <c r="D13" s="43"/>
      <c r="E13" s="16"/>
    </row>
    <row r="14" spans="3:9" ht="15" customHeight="1" thickTop="1">
      <c r="D14" s="16"/>
      <c r="E14" s="42"/>
      <c r="F14" s="16"/>
      <c r="G14" s="16"/>
      <c r="H14" s="16"/>
      <c r="I14" s="16"/>
    </row>
    <row r="15" spans="3:9">
      <c r="D15" s="43"/>
      <c r="E15" s="16"/>
    </row>
    <row r="16" spans="3:9" ht="15" thickBot="1">
      <c r="D16" s="43"/>
      <c r="E16" s="16"/>
    </row>
    <row r="17" spans="3:9" ht="15" thickTop="1">
      <c r="C17" s="385" t="s">
        <v>87</v>
      </c>
      <c r="D17" s="43"/>
      <c r="E17" s="16"/>
    </row>
    <row r="18" spans="3:9" ht="15" thickBot="1">
      <c r="C18" s="386"/>
      <c r="D18" s="43"/>
      <c r="E18" s="16"/>
    </row>
    <row r="19" spans="3:9" ht="15.75" thickTop="1" thickBot="1">
      <c r="D19" s="43"/>
      <c r="E19" s="44"/>
      <c r="F19" s="45"/>
      <c r="G19" s="45"/>
      <c r="H19" s="45"/>
      <c r="I19" s="45"/>
    </row>
    <row r="20" spans="3:9" ht="15" thickTop="1"/>
    <row r="22" spans="3:9" ht="22.5" customHeight="1"/>
    <row r="23" spans="3:9" ht="18" customHeight="1"/>
    <row r="24" spans="3:9" ht="17.25" customHeight="1"/>
    <row r="25" spans="3:9" ht="19.5" customHeight="1"/>
    <row r="27" spans="3:9" ht="0.75" customHeight="1"/>
    <row r="28" spans="3:9" ht="25.5" customHeight="1">
      <c r="E28" s="46" t="s">
        <v>90</v>
      </c>
      <c r="F28" s="390" t="s">
        <v>96</v>
      </c>
      <c r="G28" s="390"/>
      <c r="H28" s="390"/>
      <c r="I28" s="390"/>
    </row>
    <row r="29" spans="3:9" ht="25.5" customHeight="1">
      <c r="E29" s="46" t="s">
        <v>91</v>
      </c>
      <c r="F29" s="390" t="s">
        <v>97</v>
      </c>
      <c r="G29" s="390"/>
      <c r="H29" s="390"/>
      <c r="I29" s="390"/>
    </row>
    <row r="30" spans="3:9" ht="24" customHeight="1">
      <c r="E30" s="46" t="s">
        <v>92</v>
      </c>
      <c r="F30" s="390" t="s">
        <v>98</v>
      </c>
      <c r="G30" s="390"/>
      <c r="H30" s="390"/>
      <c r="I30" s="390"/>
    </row>
    <row r="31" spans="3:9" ht="26.25" customHeight="1">
      <c r="E31" s="46" t="s">
        <v>93</v>
      </c>
      <c r="F31" s="390" t="s">
        <v>99</v>
      </c>
      <c r="G31" s="390"/>
      <c r="H31" s="390"/>
      <c r="I31" s="390"/>
    </row>
    <row r="32" spans="3:9" ht="26.25" customHeight="1">
      <c r="E32" s="46" t="s">
        <v>94</v>
      </c>
      <c r="F32" s="390" t="s">
        <v>100</v>
      </c>
      <c r="G32" s="390"/>
      <c r="H32" s="390"/>
      <c r="I32" s="390"/>
    </row>
    <row r="33" spans="2:22" ht="24" customHeight="1">
      <c r="E33" s="46" t="s">
        <v>95</v>
      </c>
      <c r="F33" s="390" t="s">
        <v>101</v>
      </c>
      <c r="G33" s="390"/>
      <c r="H33" s="390"/>
      <c r="I33" s="390"/>
    </row>
    <row r="35" spans="2:22" ht="18">
      <c r="L35" s="389" t="s">
        <v>102</v>
      </c>
      <c r="M35" s="389"/>
      <c r="N35" s="389"/>
      <c r="O35" s="389"/>
      <c r="P35" s="389"/>
      <c r="Q35" s="389"/>
    </row>
    <row r="39" spans="2:22" ht="24" customHeight="1">
      <c r="B39" s="1">
        <v>10000</v>
      </c>
      <c r="C39" s="1" t="s">
        <v>103</v>
      </c>
      <c r="D39" s="1">
        <v>300</v>
      </c>
      <c r="L39" s="50">
        <v>10000</v>
      </c>
      <c r="M39" s="51" t="s">
        <v>103</v>
      </c>
      <c r="N39" s="50">
        <v>300</v>
      </c>
      <c r="O39" s="51" t="s">
        <v>49</v>
      </c>
      <c r="P39" s="50">
        <v>3000000</v>
      </c>
      <c r="Q39" s="40"/>
      <c r="R39" s="50">
        <v>80000</v>
      </c>
      <c r="S39" s="51" t="s">
        <v>103</v>
      </c>
      <c r="T39" s="50">
        <v>300</v>
      </c>
      <c r="U39" s="51" t="s">
        <v>49</v>
      </c>
      <c r="V39" s="50">
        <v>24000000</v>
      </c>
    </row>
    <row r="40" spans="2:22" ht="24" customHeight="1">
      <c r="L40" s="50">
        <v>10000</v>
      </c>
      <c r="M40" s="51" t="s">
        <v>103</v>
      </c>
      <c r="N40" s="50">
        <v>188.3</v>
      </c>
      <c r="O40" s="51" t="s">
        <v>49</v>
      </c>
      <c r="P40" s="52">
        <v>-1883000</v>
      </c>
      <c r="Q40" s="40"/>
      <c r="R40" s="50">
        <v>80000</v>
      </c>
      <c r="S40" s="51" t="s">
        <v>103</v>
      </c>
      <c r="T40" s="50">
        <v>188.3</v>
      </c>
      <c r="U40" s="51" t="s">
        <v>49</v>
      </c>
      <c r="V40" s="50">
        <v>-15064000</v>
      </c>
    </row>
    <row r="41" spans="2:22" ht="24" customHeight="1">
      <c r="L41" s="50"/>
      <c r="M41" s="51"/>
      <c r="N41" s="50"/>
      <c r="O41" s="51"/>
      <c r="P41" s="53">
        <f>SUM(P39:P40)</f>
        <v>1117000</v>
      </c>
      <c r="Q41" s="40"/>
      <c r="R41" s="50"/>
      <c r="S41" s="51"/>
      <c r="T41" s="50"/>
      <c r="U41" s="51"/>
      <c r="V41" s="53">
        <f>SUM(V39:V40)</f>
        <v>8936000</v>
      </c>
    </row>
    <row r="42" spans="2:22" ht="24" customHeight="1">
      <c r="L42" s="50"/>
      <c r="M42" s="51"/>
      <c r="N42" s="50"/>
      <c r="O42" s="51"/>
      <c r="P42" s="54">
        <v>-8688299</v>
      </c>
      <c r="Q42" s="40"/>
      <c r="R42" s="50"/>
      <c r="S42" s="51"/>
      <c r="T42" s="50"/>
      <c r="U42" s="51"/>
      <c r="V42" s="50">
        <v>-8688299</v>
      </c>
    </row>
    <row r="43" spans="2:22" ht="24" customHeight="1">
      <c r="L43" s="50"/>
      <c r="M43" s="51"/>
      <c r="N43" s="50"/>
      <c r="O43" s="51"/>
      <c r="P43" s="50">
        <f>SUM(P41:P42)</f>
        <v>-7571299</v>
      </c>
      <c r="Q43" s="40"/>
      <c r="R43" s="50"/>
      <c r="S43" s="51"/>
      <c r="T43" s="50"/>
      <c r="U43" s="51"/>
      <c r="V43" s="53">
        <f>SUM(V41:V42)</f>
        <v>247701</v>
      </c>
    </row>
    <row r="44" spans="2:22" ht="24" customHeight="1" thickBot="1">
      <c r="L44" s="55"/>
      <c r="M44" s="56"/>
      <c r="N44" s="55"/>
      <c r="O44" s="56"/>
      <c r="P44" s="55"/>
      <c r="Q44" s="57"/>
      <c r="R44" s="55"/>
      <c r="S44" s="56"/>
      <c r="T44" s="55"/>
      <c r="U44" s="56"/>
      <c r="V44" s="55"/>
    </row>
    <row r="45" spans="2:22" ht="24" customHeight="1" thickTop="1">
      <c r="L45" s="50"/>
      <c r="M45" s="51"/>
      <c r="N45" s="50"/>
      <c r="O45" s="51"/>
      <c r="P45" s="50"/>
      <c r="Q45" s="40"/>
      <c r="R45" s="50"/>
      <c r="S45" s="51"/>
      <c r="T45" s="50"/>
      <c r="U45" s="51"/>
      <c r="V45" s="50"/>
    </row>
    <row r="46" spans="2:22" ht="24" customHeight="1">
      <c r="L46" s="50" t="s">
        <v>104</v>
      </c>
      <c r="M46" s="51"/>
      <c r="N46" s="50"/>
      <c r="O46" s="51"/>
      <c r="P46" s="50"/>
      <c r="Q46" s="40"/>
      <c r="R46" s="50"/>
      <c r="S46" s="51"/>
      <c r="T46" s="50"/>
      <c r="U46" s="51"/>
      <c r="V46" s="50"/>
    </row>
    <row r="47" spans="2:22" ht="24" customHeight="1">
      <c r="L47" s="50"/>
      <c r="M47" s="51"/>
      <c r="N47" s="50"/>
      <c r="O47" s="51"/>
      <c r="P47" s="50"/>
      <c r="Q47" s="40"/>
      <c r="R47" s="50"/>
      <c r="S47" s="51"/>
      <c r="T47" s="50"/>
      <c r="U47" s="51"/>
      <c r="V47" s="50"/>
    </row>
    <row r="48" spans="2:22" ht="24" customHeight="1">
      <c r="L48" s="50">
        <v>10000</v>
      </c>
      <c r="M48" s="51" t="s">
        <v>103</v>
      </c>
      <c r="N48" s="50">
        <v>320</v>
      </c>
      <c r="O48" s="51" t="s">
        <v>49</v>
      </c>
      <c r="P48" s="50">
        <f>L48*N48</f>
        <v>3200000</v>
      </c>
      <c r="Q48" s="40"/>
      <c r="R48" s="50">
        <v>80000</v>
      </c>
      <c r="S48" s="51" t="s">
        <v>103</v>
      </c>
      <c r="T48" s="50">
        <v>320</v>
      </c>
      <c r="U48" s="51" t="s">
        <v>49</v>
      </c>
      <c r="V48" s="50">
        <f>R48*T48</f>
        <v>25600000</v>
      </c>
    </row>
    <row r="49" spans="12:22" ht="24" customHeight="1">
      <c r="L49" s="50">
        <v>10000</v>
      </c>
      <c r="M49" s="51" t="s">
        <v>103</v>
      </c>
      <c r="N49" s="50">
        <v>188.3</v>
      </c>
      <c r="O49" s="51" t="s">
        <v>49</v>
      </c>
      <c r="P49" s="50">
        <f>-L49*N49</f>
        <v>-1883000</v>
      </c>
      <c r="Q49" s="40"/>
      <c r="R49" s="50">
        <v>80000</v>
      </c>
      <c r="S49" s="51" t="s">
        <v>103</v>
      </c>
      <c r="T49" s="50">
        <v>188.3</v>
      </c>
      <c r="U49" s="51" t="s">
        <v>49</v>
      </c>
      <c r="V49" s="54">
        <f>-R49*T49</f>
        <v>-15064000</v>
      </c>
    </row>
    <row r="50" spans="12:22" ht="24" customHeight="1">
      <c r="L50" s="50"/>
      <c r="M50" s="51"/>
      <c r="N50" s="50"/>
      <c r="O50" s="51"/>
      <c r="P50" s="53">
        <f>SUM(P48:P49)</f>
        <v>1317000</v>
      </c>
      <c r="Q50" s="40"/>
      <c r="R50" s="50"/>
      <c r="S50" s="51"/>
      <c r="T50" s="50"/>
      <c r="U50" s="51"/>
      <c r="V50" s="50">
        <f>SUM(V48:V49)</f>
        <v>10536000</v>
      </c>
    </row>
    <row r="51" spans="12:22" ht="24" customHeight="1">
      <c r="L51" s="50"/>
      <c r="M51" s="51"/>
      <c r="N51" s="50"/>
      <c r="O51" s="51"/>
      <c r="P51" s="50">
        <v>-8688299</v>
      </c>
      <c r="Q51" s="40"/>
      <c r="R51" s="50"/>
      <c r="S51" s="51"/>
      <c r="T51" s="50"/>
      <c r="U51" s="51"/>
      <c r="V51" s="54">
        <v>-8688299</v>
      </c>
    </row>
    <row r="52" spans="12:22" ht="24" customHeight="1">
      <c r="L52" s="50"/>
      <c r="M52" s="51"/>
      <c r="N52" s="50"/>
      <c r="O52" s="51"/>
      <c r="P52" s="53">
        <f>SUM(P50:P51)</f>
        <v>-7371299</v>
      </c>
      <c r="Q52" s="40"/>
      <c r="R52" s="50"/>
      <c r="S52" s="51"/>
      <c r="T52" s="50"/>
      <c r="U52" s="51"/>
      <c r="V52" s="50">
        <f>SUM(V50:V51)</f>
        <v>1847701</v>
      </c>
    </row>
    <row r="53" spans="12:22" ht="24" customHeight="1" thickBot="1">
      <c r="L53" s="55"/>
      <c r="M53" s="56"/>
      <c r="N53" s="55"/>
      <c r="O53" s="56"/>
      <c r="P53" s="55"/>
      <c r="Q53" s="57"/>
      <c r="R53" s="55"/>
      <c r="S53" s="56"/>
      <c r="T53" s="55"/>
      <c r="U53" s="56"/>
      <c r="V53" s="55"/>
    </row>
    <row r="54" spans="12:22" ht="24" customHeight="1" thickTop="1">
      <c r="L54" s="50"/>
      <c r="M54" s="51"/>
      <c r="N54" s="50"/>
      <c r="O54" s="51"/>
      <c r="P54" s="50"/>
      <c r="Q54" s="40"/>
      <c r="R54" s="50"/>
      <c r="S54" s="51"/>
      <c r="T54" s="50"/>
      <c r="U54" s="51"/>
      <c r="V54" s="50"/>
    </row>
    <row r="55" spans="12:22" ht="24" customHeight="1">
      <c r="L55" s="50" t="s">
        <v>105</v>
      </c>
      <c r="M55" s="51"/>
      <c r="N55" s="50"/>
      <c r="O55" s="51"/>
      <c r="P55" s="50"/>
      <c r="Q55" s="40"/>
      <c r="R55" s="50"/>
      <c r="S55" s="51"/>
      <c r="T55" s="50"/>
      <c r="U55" s="51"/>
      <c r="V55" s="50"/>
    </row>
    <row r="56" spans="12:22" ht="24" customHeight="1">
      <c r="L56" s="50"/>
      <c r="M56" s="51"/>
      <c r="N56" s="50"/>
      <c r="O56" s="51"/>
      <c r="P56" s="50"/>
      <c r="Q56" s="40"/>
      <c r="R56" s="50"/>
      <c r="S56" s="51"/>
      <c r="T56" s="50"/>
      <c r="U56" s="51"/>
      <c r="V56" s="50"/>
    </row>
    <row r="57" spans="12:22" ht="24" customHeight="1">
      <c r="L57" s="50">
        <v>10000</v>
      </c>
      <c r="M57" s="51" t="s">
        <v>103</v>
      </c>
      <c r="N57" s="50">
        <v>300</v>
      </c>
      <c r="O57" s="51" t="s">
        <v>49</v>
      </c>
      <c r="P57" s="50">
        <f>L57*N57</f>
        <v>3000000</v>
      </c>
      <c r="Q57" s="40"/>
      <c r="R57" s="50">
        <v>80000</v>
      </c>
      <c r="S57" s="51" t="s">
        <v>103</v>
      </c>
      <c r="T57" s="50">
        <v>300</v>
      </c>
      <c r="U57" s="51" t="s">
        <v>49</v>
      </c>
      <c r="V57" s="50">
        <f>R57*T57</f>
        <v>24000000</v>
      </c>
    </row>
    <row r="58" spans="12:22" ht="24" customHeight="1">
      <c r="L58" s="50">
        <v>10000</v>
      </c>
      <c r="M58" s="51" t="s">
        <v>103</v>
      </c>
      <c r="N58" s="50">
        <v>206.3</v>
      </c>
      <c r="O58" s="51" t="s">
        <v>49</v>
      </c>
      <c r="P58" s="50">
        <f>-L58*N58</f>
        <v>-2063000</v>
      </c>
      <c r="Q58" s="40"/>
      <c r="R58" s="50">
        <v>80000</v>
      </c>
      <c r="S58" s="51" t="s">
        <v>103</v>
      </c>
      <c r="T58" s="50">
        <v>206.3</v>
      </c>
      <c r="U58" s="51" t="s">
        <v>49</v>
      </c>
      <c r="V58" s="54">
        <f>-R58*T58</f>
        <v>-16504000</v>
      </c>
    </row>
    <row r="59" spans="12:22" ht="24" customHeight="1">
      <c r="L59" s="50"/>
      <c r="M59" s="51"/>
      <c r="N59" s="50"/>
      <c r="O59" s="51"/>
      <c r="P59" s="53">
        <f>SUM(P57:P58)</f>
        <v>937000</v>
      </c>
      <c r="Q59" s="40"/>
      <c r="R59" s="50"/>
      <c r="S59" s="51"/>
      <c r="T59" s="50"/>
      <c r="U59" s="51"/>
      <c r="V59" s="50">
        <f>SUM(V57:V58)</f>
        <v>7496000</v>
      </c>
    </row>
    <row r="60" spans="12:22" ht="24" customHeight="1">
      <c r="L60" s="50"/>
      <c r="M60" s="51"/>
      <c r="N60" s="50"/>
      <c r="O60" s="51"/>
      <c r="P60" s="50">
        <v>-8688299</v>
      </c>
      <c r="Q60" s="40"/>
      <c r="R60" s="50"/>
      <c r="S60" s="51"/>
      <c r="T60" s="50"/>
      <c r="U60" s="51"/>
      <c r="V60" s="54">
        <v>-8688299</v>
      </c>
    </row>
    <row r="61" spans="12:22" ht="24" customHeight="1">
      <c r="L61" s="50"/>
      <c r="M61" s="51"/>
      <c r="N61" s="50"/>
      <c r="O61" s="51"/>
      <c r="P61" s="53">
        <f>SUM(P59:P60)</f>
        <v>-7751299</v>
      </c>
      <c r="Q61" s="40"/>
      <c r="R61" s="50"/>
      <c r="S61" s="51"/>
      <c r="T61" s="50"/>
      <c r="U61" s="51"/>
      <c r="V61" s="50">
        <f>SUM(V59:V60)</f>
        <v>-1192299</v>
      </c>
    </row>
    <row r="62" spans="12:22" ht="24" customHeight="1" thickBot="1">
      <c r="L62" s="55"/>
      <c r="M62" s="56"/>
      <c r="N62" s="55"/>
      <c r="O62" s="56"/>
      <c r="P62" s="55"/>
      <c r="Q62" s="57"/>
      <c r="R62" s="55"/>
      <c r="S62" s="56"/>
      <c r="T62" s="55"/>
      <c r="U62" s="56"/>
      <c r="V62" s="55"/>
    </row>
    <row r="63" spans="12:22" ht="24" customHeight="1" thickTop="1">
      <c r="L63" s="50"/>
      <c r="M63" s="51"/>
      <c r="N63" s="50"/>
      <c r="O63" s="51"/>
      <c r="P63" s="50"/>
      <c r="Q63" s="40"/>
      <c r="R63" s="50"/>
      <c r="S63" s="51"/>
      <c r="T63" s="50"/>
      <c r="U63" s="51"/>
      <c r="V63" s="50"/>
    </row>
    <row r="64" spans="12:22" ht="24" customHeight="1">
      <c r="L64" s="50" t="s">
        <v>107</v>
      </c>
      <c r="M64" s="51"/>
      <c r="N64" s="50"/>
      <c r="O64" s="51"/>
      <c r="P64" s="50"/>
      <c r="Q64" s="40"/>
      <c r="R64" s="50"/>
      <c r="S64" s="51"/>
      <c r="T64" s="50"/>
      <c r="U64" s="51"/>
      <c r="V64" s="50"/>
    </row>
    <row r="65" spans="12:22" ht="24" customHeight="1">
      <c r="L65" s="50"/>
      <c r="M65" s="51"/>
      <c r="N65" s="50"/>
      <c r="O65" s="51"/>
      <c r="P65" s="50"/>
      <c r="Q65" s="40"/>
      <c r="R65" s="50"/>
      <c r="S65" s="51"/>
      <c r="T65" s="50"/>
      <c r="U65" s="51"/>
      <c r="V65" s="50"/>
    </row>
    <row r="66" spans="12:22" ht="24" customHeight="1">
      <c r="L66" s="50"/>
      <c r="M66" s="51"/>
      <c r="N66" s="50" t="s">
        <v>106</v>
      </c>
      <c r="O66" s="51"/>
      <c r="P66" s="50">
        <v>-7571300</v>
      </c>
      <c r="Q66" s="40"/>
      <c r="R66" s="50">
        <v>247700</v>
      </c>
      <c r="S66" s="51"/>
      <c r="T66" s="50"/>
      <c r="U66" s="51"/>
      <c r="V66" s="40"/>
    </row>
    <row r="67" spans="12:22" ht="24" customHeight="1">
      <c r="L67" s="50"/>
      <c r="M67" s="51"/>
      <c r="N67" s="50"/>
      <c r="O67" s="51"/>
      <c r="P67" s="50">
        <v>200000</v>
      </c>
      <c r="Q67" s="40"/>
      <c r="R67" s="54">
        <v>-200000</v>
      </c>
      <c r="S67" s="51"/>
      <c r="T67" s="50"/>
      <c r="U67" s="51"/>
      <c r="V67" s="40"/>
    </row>
    <row r="68" spans="12:22" ht="24" customHeight="1">
      <c r="L68" s="50"/>
      <c r="M68" s="51"/>
      <c r="N68" s="50"/>
      <c r="O68" s="51"/>
      <c r="P68" s="53">
        <v>7771300</v>
      </c>
      <c r="Q68" s="40"/>
      <c r="R68" s="50">
        <v>47700</v>
      </c>
      <c r="S68" s="51"/>
      <c r="T68" s="50"/>
      <c r="U68" s="51"/>
      <c r="V68" s="40"/>
    </row>
    <row r="69" spans="12:22">
      <c r="L69" s="3"/>
      <c r="N69" s="3"/>
      <c r="O69" s="6"/>
      <c r="P69" s="17"/>
      <c r="R69" s="3"/>
      <c r="T69" s="3"/>
      <c r="U69" s="6"/>
      <c r="V69" s="17"/>
    </row>
    <row r="70" spans="12:22">
      <c r="L70" s="3"/>
      <c r="N70" s="3"/>
      <c r="O70" s="6"/>
      <c r="P70" s="17"/>
      <c r="R70" s="3"/>
      <c r="T70" s="3"/>
      <c r="U70" s="6"/>
      <c r="V70" s="3"/>
    </row>
  </sheetData>
  <mergeCells count="10">
    <mergeCell ref="C17:C18"/>
    <mergeCell ref="C11:C13"/>
    <mergeCell ref="C3:I3"/>
    <mergeCell ref="L35:Q35"/>
    <mergeCell ref="F28:I28"/>
    <mergeCell ref="F29:I29"/>
    <mergeCell ref="F30:I30"/>
    <mergeCell ref="F31:I31"/>
    <mergeCell ref="F32:I32"/>
    <mergeCell ref="F33:I33"/>
  </mergeCells>
  <pageMargins left="0.7" right="0.7" top="0.75" bottom="0.75" header="0.3" footer="0.3"/>
  <pageSetup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Y49"/>
  <sheetViews>
    <sheetView topLeftCell="C24" zoomScale="90" zoomScaleNormal="90" workbookViewId="0">
      <selection activeCell="BA29" sqref="BA29"/>
    </sheetView>
  </sheetViews>
  <sheetFormatPr defaultRowHeight="15.75"/>
  <cols>
    <col min="1" max="1" width="9.140625" style="40"/>
    <col min="2" max="2" width="10.7109375" style="40" customWidth="1"/>
    <col min="3" max="3" width="48.140625" style="40" bestFit="1" customWidth="1"/>
    <col min="4" max="4" width="10.140625" style="58" customWidth="1"/>
    <col min="5" max="5" width="2.7109375" style="58" customWidth="1"/>
    <col min="6" max="6" width="10.7109375" style="58" customWidth="1"/>
    <col min="7" max="7" width="2.7109375" style="58" customWidth="1"/>
    <col min="8" max="8" width="15.42578125" style="58" bestFit="1" customWidth="1"/>
    <col min="9" max="13" width="9.140625" style="40"/>
    <col min="14" max="14" width="19.85546875" style="40" bestFit="1" customWidth="1"/>
    <col min="15" max="15" width="9.140625" style="40"/>
    <col min="16" max="16" width="11.5703125" style="86" bestFit="1" customWidth="1"/>
    <col min="17" max="18" width="9.140625" style="40"/>
    <col min="19" max="19" width="3" style="40" customWidth="1"/>
    <col min="20" max="20" width="9.140625" style="40"/>
    <col min="21" max="21" width="3.28515625" style="40" customWidth="1"/>
    <col min="22" max="22" width="3" style="40" customWidth="1"/>
    <col min="23" max="23" width="6" style="40" customWidth="1"/>
    <col min="24" max="26" width="9.5703125" style="40" bestFit="1" customWidth="1"/>
    <col min="27" max="27" width="9.140625" style="40"/>
    <col min="28" max="28" width="9.140625" style="86"/>
    <col min="29" max="29" width="9.140625" style="40"/>
    <col min="30" max="30" width="11.5703125" style="86" bestFit="1" customWidth="1"/>
    <col min="31" max="31" width="3.42578125" style="40" customWidth="1"/>
    <col min="32" max="32" width="3.140625" style="40" customWidth="1"/>
    <col min="33" max="35" width="9.140625" style="40"/>
    <col min="36" max="36" width="4.7109375" style="34" customWidth="1"/>
    <col min="37" max="37" width="5" style="34" customWidth="1"/>
    <col min="38" max="39" width="9.140625" style="34"/>
    <col min="40" max="40" width="14.85546875" style="34" customWidth="1"/>
    <col min="41" max="41" width="11.42578125" style="8" bestFit="1" customWidth="1"/>
    <col min="42" max="42" width="9.140625" style="34"/>
    <col min="43" max="43" width="4.42578125" style="34" customWidth="1"/>
    <col min="44" max="45" width="9.140625" style="34"/>
    <col min="46" max="46" width="12.28515625" style="34" customWidth="1"/>
    <col min="47" max="47" width="11.42578125" style="141" bestFit="1" customWidth="1"/>
    <col min="48" max="48" width="2.28515625" style="140" customWidth="1"/>
    <col min="49" max="49" width="12.7109375" style="140" bestFit="1" customWidth="1"/>
    <col min="50" max="50" width="9.140625" style="140"/>
    <col min="51" max="51" width="9.140625" style="40"/>
    <col min="52" max="52" width="5.140625" style="40" customWidth="1"/>
    <col min="53" max="53" width="16.5703125" style="40" customWidth="1"/>
    <col min="54" max="54" width="10" style="40" bestFit="1" customWidth="1"/>
    <col min="55" max="58" width="9.140625" style="40"/>
    <col min="59" max="59" width="11.5703125" style="40" bestFit="1" customWidth="1"/>
    <col min="60" max="65" width="9.140625" style="40"/>
    <col min="66" max="66" width="9.5703125" style="40" bestFit="1" customWidth="1"/>
    <col min="67" max="16384" width="9.140625" style="40"/>
  </cols>
  <sheetData>
    <row r="2" spans="2:77">
      <c r="L2" s="391" t="s">
        <v>108</v>
      </c>
      <c r="M2" s="391"/>
      <c r="N2" s="391"/>
      <c r="O2" s="391"/>
      <c r="P2" s="391"/>
      <c r="Q2" s="391"/>
      <c r="R2" s="391"/>
      <c r="T2" s="391" t="s">
        <v>108</v>
      </c>
      <c r="U2" s="391"/>
      <c r="V2" s="391"/>
      <c r="W2" s="391"/>
      <c r="X2" s="391"/>
      <c r="Y2" s="391"/>
      <c r="Z2" s="391"/>
      <c r="AA2" s="391"/>
      <c r="AI2" s="391" t="s">
        <v>184</v>
      </c>
      <c r="AJ2" s="391"/>
      <c r="AK2" s="391"/>
      <c r="AL2" s="391"/>
      <c r="AM2" s="391"/>
      <c r="AN2" s="391"/>
      <c r="AO2" s="391"/>
      <c r="AP2" s="391"/>
      <c r="BB2" s="391" t="s">
        <v>184</v>
      </c>
      <c r="BC2" s="391"/>
      <c r="BD2" s="391"/>
      <c r="BE2" s="391"/>
      <c r="BF2" s="391"/>
      <c r="BG2" s="391"/>
      <c r="BH2" s="391"/>
      <c r="BI2" s="391"/>
      <c r="BJ2" s="34"/>
      <c r="BK2" s="34"/>
      <c r="BL2" s="34"/>
      <c r="BM2" s="34"/>
      <c r="BN2" s="141"/>
      <c r="BO2" s="140"/>
      <c r="BP2" s="140"/>
    </row>
    <row r="3" spans="2:77" ht="16.5" thickBot="1">
      <c r="B3" s="391" t="s">
        <v>108</v>
      </c>
      <c r="C3" s="391"/>
      <c r="D3" s="391"/>
      <c r="E3" s="391"/>
      <c r="F3" s="391"/>
      <c r="G3" s="391"/>
      <c r="H3" s="391"/>
      <c r="M3" s="47"/>
      <c r="N3" s="47"/>
      <c r="O3" s="47"/>
      <c r="P3" s="47"/>
      <c r="Q3" s="58"/>
      <c r="R3" s="58"/>
      <c r="AI3" s="333" t="s">
        <v>602</v>
      </c>
      <c r="BC3" s="34"/>
      <c r="BD3" s="34"/>
      <c r="BE3" s="34"/>
      <c r="BF3" s="34"/>
      <c r="BG3" s="34"/>
      <c r="BH3" s="8"/>
      <c r="BI3" s="34"/>
      <c r="BJ3" s="34"/>
      <c r="BK3" s="34"/>
      <c r="BL3" s="34"/>
      <c r="BM3" s="34"/>
      <c r="BN3" s="141"/>
      <c r="BO3" s="140"/>
      <c r="BP3" s="140"/>
    </row>
    <row r="4" spans="2:77" ht="16.5" thickBot="1">
      <c r="L4" s="69"/>
      <c r="M4" s="70"/>
      <c r="N4" s="71"/>
      <c r="O4" s="71"/>
      <c r="P4" s="93"/>
      <c r="Q4" s="94"/>
      <c r="R4" s="58"/>
      <c r="V4" s="69"/>
      <c r="W4" s="70"/>
      <c r="X4" s="70"/>
      <c r="Y4" s="70"/>
      <c r="Z4" s="70"/>
      <c r="AA4" s="70"/>
      <c r="AB4" s="101"/>
      <c r="AC4" s="70"/>
      <c r="AD4" s="101"/>
      <c r="AE4" s="72"/>
      <c r="AL4" s="136" t="s">
        <v>164</v>
      </c>
      <c r="BC4" s="34"/>
      <c r="BD4" s="34"/>
      <c r="BE4" s="136" t="s">
        <v>164</v>
      </c>
      <c r="BF4" s="34"/>
      <c r="BG4" s="34"/>
      <c r="BH4" s="8"/>
      <c r="BI4" s="34"/>
      <c r="BJ4" s="34"/>
      <c r="BK4" s="34"/>
      <c r="BL4" s="34"/>
      <c r="BM4" s="34"/>
      <c r="BN4" s="141"/>
      <c r="BO4" s="140"/>
      <c r="BP4" s="140"/>
    </row>
    <row r="5" spans="2:77">
      <c r="B5" s="69"/>
      <c r="C5" s="70"/>
      <c r="D5" s="71"/>
      <c r="E5" s="71"/>
      <c r="F5" s="71"/>
      <c r="G5" s="71"/>
      <c r="H5" s="71"/>
      <c r="I5" s="72"/>
      <c r="L5" s="73"/>
      <c r="M5" s="393" t="s">
        <v>121</v>
      </c>
      <c r="N5" s="393"/>
      <c r="O5" s="393"/>
      <c r="P5" s="393"/>
      <c r="Q5" s="95"/>
      <c r="R5" s="58"/>
      <c r="V5" s="73"/>
      <c r="W5" s="75"/>
      <c r="X5" s="75"/>
      <c r="Y5" s="393" t="s">
        <v>121</v>
      </c>
      <c r="Z5" s="393"/>
      <c r="AA5" s="393"/>
      <c r="AB5" s="393"/>
      <c r="AC5" s="98"/>
      <c r="AD5" s="96"/>
      <c r="AE5" s="74"/>
      <c r="AJ5" s="34" t="s">
        <v>109</v>
      </c>
      <c r="AQ5" s="34" t="s">
        <v>109</v>
      </c>
      <c r="BC5" s="34" t="s">
        <v>109</v>
      </c>
      <c r="BD5" s="34"/>
      <c r="BE5" s="34"/>
      <c r="BF5" s="34"/>
      <c r="BG5" s="34"/>
      <c r="BH5" s="8"/>
      <c r="BI5" s="34"/>
      <c r="BJ5" s="34" t="s">
        <v>109</v>
      </c>
      <c r="BK5" s="34"/>
      <c r="BL5" s="34"/>
      <c r="BM5" s="34"/>
      <c r="BN5" s="141"/>
      <c r="BO5" s="140"/>
      <c r="BP5" s="140"/>
    </row>
    <row r="6" spans="2:77">
      <c r="B6" s="73"/>
      <c r="C6" s="393" t="s">
        <v>109</v>
      </c>
      <c r="D6" s="393"/>
      <c r="E6" s="393"/>
      <c r="F6" s="393"/>
      <c r="G6" s="393"/>
      <c r="H6" s="393"/>
      <c r="I6" s="74"/>
      <c r="L6" s="73"/>
      <c r="M6" s="393" t="s">
        <v>122</v>
      </c>
      <c r="N6" s="393"/>
      <c r="O6" s="393"/>
      <c r="P6" s="393"/>
      <c r="Q6" s="95"/>
      <c r="R6" s="58"/>
      <c r="V6" s="73"/>
      <c r="W6" s="75"/>
      <c r="X6" s="75"/>
      <c r="Y6" s="393" t="s">
        <v>122</v>
      </c>
      <c r="Z6" s="393"/>
      <c r="AA6" s="393"/>
      <c r="AB6" s="393"/>
      <c r="AC6" s="98"/>
      <c r="AD6" s="96"/>
      <c r="AE6" s="74"/>
      <c r="AJ6" s="34" t="s">
        <v>166</v>
      </c>
      <c r="AQ6" s="34" t="s">
        <v>167</v>
      </c>
      <c r="BC6" s="34" t="s">
        <v>186</v>
      </c>
      <c r="BD6" s="34"/>
      <c r="BE6" s="34"/>
      <c r="BF6" s="34"/>
      <c r="BG6" s="34"/>
      <c r="BH6" s="8"/>
      <c r="BI6" s="34"/>
      <c r="BJ6" s="34" t="s">
        <v>187</v>
      </c>
      <c r="BK6" s="34"/>
      <c r="BL6" s="34"/>
      <c r="BM6" s="34"/>
      <c r="BN6" s="141"/>
      <c r="BO6" s="140"/>
      <c r="BP6" s="140"/>
    </row>
    <row r="7" spans="2:77">
      <c r="B7" s="73"/>
      <c r="C7" s="393" t="s">
        <v>110</v>
      </c>
      <c r="D7" s="393"/>
      <c r="E7" s="393"/>
      <c r="F7" s="393"/>
      <c r="G7" s="393"/>
      <c r="H7" s="393"/>
      <c r="I7" s="74"/>
      <c r="L7" s="73"/>
      <c r="M7" s="393" t="s">
        <v>123</v>
      </c>
      <c r="N7" s="393"/>
      <c r="O7" s="393"/>
      <c r="P7" s="393"/>
      <c r="Q7" s="74"/>
      <c r="V7" s="73"/>
      <c r="W7" s="75"/>
      <c r="X7" s="75"/>
      <c r="Y7" s="393" t="s">
        <v>123</v>
      </c>
      <c r="Z7" s="393"/>
      <c r="AA7" s="393"/>
      <c r="AB7" s="393"/>
      <c r="AC7" s="98"/>
      <c r="AD7" s="96"/>
      <c r="AE7" s="74"/>
      <c r="AQ7" s="339" t="s">
        <v>598</v>
      </c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2:77">
      <c r="B8" s="73"/>
      <c r="C8" s="393" t="s">
        <v>120</v>
      </c>
      <c r="D8" s="393"/>
      <c r="E8" s="393"/>
      <c r="F8" s="393"/>
      <c r="G8" s="393"/>
      <c r="H8" s="393"/>
      <c r="I8" s="74"/>
      <c r="L8" s="73"/>
      <c r="M8" s="75"/>
      <c r="N8" s="75"/>
      <c r="O8" s="75"/>
      <c r="P8" s="96"/>
      <c r="Q8" s="74"/>
      <c r="U8" s="58"/>
      <c r="V8" s="110"/>
      <c r="W8" s="76"/>
      <c r="X8" s="76"/>
      <c r="Y8" s="76"/>
      <c r="Z8" s="76"/>
      <c r="AA8" s="76"/>
      <c r="AB8" s="111"/>
      <c r="AC8" s="76"/>
      <c r="AD8" s="111"/>
      <c r="AE8" s="112"/>
      <c r="AJ8" s="34" t="s">
        <v>158</v>
      </c>
      <c r="AQ8" s="34" t="s">
        <v>168</v>
      </c>
      <c r="BB8" s="33"/>
      <c r="BC8" s="14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85"/>
      <c r="BT8" s="85"/>
      <c r="BU8" s="85"/>
      <c r="BV8" s="85"/>
      <c r="BW8" s="85"/>
      <c r="BX8" s="85"/>
      <c r="BY8" s="85"/>
    </row>
    <row r="9" spans="2:77">
      <c r="B9" s="73"/>
      <c r="C9" s="75"/>
      <c r="D9" s="76"/>
      <c r="E9" s="76"/>
      <c r="F9" s="76"/>
      <c r="G9" s="76"/>
      <c r="H9" s="76"/>
      <c r="I9" s="74"/>
      <c r="L9" s="73"/>
      <c r="M9" s="75" t="s">
        <v>124</v>
      </c>
      <c r="N9" s="75"/>
      <c r="O9" s="75"/>
      <c r="P9" s="96"/>
      <c r="Q9" s="74"/>
      <c r="U9" s="58"/>
      <c r="V9" s="110"/>
      <c r="W9" s="76"/>
      <c r="X9" s="76"/>
      <c r="Y9" s="76"/>
      <c r="Z9" s="76"/>
      <c r="AA9" s="76"/>
      <c r="AB9" s="111"/>
      <c r="AC9" s="76"/>
      <c r="AD9" s="111"/>
      <c r="AE9" s="112"/>
      <c r="AI9" s="138">
        <v>0.5</v>
      </c>
      <c r="AK9" s="34" t="s">
        <v>29</v>
      </c>
      <c r="AO9" s="107">
        <v>27500</v>
      </c>
      <c r="AR9" s="34" t="s">
        <v>138</v>
      </c>
      <c r="AX9" s="142"/>
      <c r="BB9" s="33"/>
      <c r="BC9" s="128" t="s">
        <v>190</v>
      </c>
      <c r="BD9" s="34"/>
      <c r="BE9" s="34"/>
      <c r="BF9" s="34"/>
      <c r="BG9" s="107">
        <v>4444000</v>
      </c>
      <c r="BH9" s="34"/>
      <c r="BI9" s="34"/>
      <c r="BJ9" s="34" t="s">
        <v>197</v>
      </c>
      <c r="BK9" s="34"/>
      <c r="BL9" s="34"/>
      <c r="BM9" s="34"/>
      <c r="BN9" s="107">
        <v>400000</v>
      </c>
      <c r="BO9" s="34"/>
      <c r="BP9" s="34"/>
      <c r="BQ9" s="34"/>
      <c r="BR9" s="34"/>
      <c r="BS9" s="85"/>
      <c r="BT9" s="85"/>
      <c r="BU9" s="85"/>
      <c r="BV9" s="85"/>
      <c r="BW9" s="85"/>
      <c r="BX9" s="85"/>
      <c r="BY9" s="85"/>
    </row>
    <row r="10" spans="2:77" s="60" customFormat="1" ht="18.75">
      <c r="B10" s="77"/>
      <c r="C10" s="78"/>
      <c r="D10" s="79" t="s">
        <v>80</v>
      </c>
      <c r="E10" s="79"/>
      <c r="F10" s="79" t="s">
        <v>112</v>
      </c>
      <c r="G10" s="79"/>
      <c r="H10" s="79" t="s">
        <v>113</v>
      </c>
      <c r="I10" s="80"/>
      <c r="L10" s="77"/>
      <c r="M10" s="75"/>
      <c r="N10" s="75" t="s">
        <v>112</v>
      </c>
      <c r="O10" s="75"/>
      <c r="P10" s="88">
        <v>15000</v>
      </c>
      <c r="Q10" s="95"/>
      <c r="U10" s="59"/>
      <c r="V10" s="113"/>
      <c r="W10" s="394" t="s">
        <v>134</v>
      </c>
      <c r="X10" s="394"/>
      <c r="Y10" s="114"/>
      <c r="Z10" s="114"/>
      <c r="AA10" s="114"/>
      <c r="AB10" s="111"/>
      <c r="AC10" s="115"/>
      <c r="AD10" s="111"/>
      <c r="AE10" s="116"/>
      <c r="AI10" s="138">
        <v>2</v>
      </c>
      <c r="AJ10" s="34"/>
      <c r="AK10" s="34" t="s">
        <v>159</v>
      </c>
      <c r="AL10" s="34"/>
      <c r="AM10" s="34"/>
      <c r="AN10" s="34"/>
      <c r="AO10" s="107">
        <v>110000</v>
      </c>
      <c r="AP10" s="34"/>
      <c r="AQ10" s="34"/>
      <c r="AR10" s="34" t="s">
        <v>169</v>
      </c>
      <c r="AS10" s="34"/>
      <c r="AT10" s="34"/>
      <c r="AU10" s="107">
        <v>1940150</v>
      </c>
      <c r="AV10" s="140"/>
      <c r="AW10" s="142" t="s">
        <v>176</v>
      </c>
      <c r="AX10" s="140"/>
      <c r="BB10" s="151"/>
      <c r="BC10" s="34" t="s">
        <v>188</v>
      </c>
      <c r="BD10" s="34"/>
      <c r="BE10" s="34"/>
      <c r="BF10" s="34"/>
      <c r="BG10" s="107">
        <v>1500000</v>
      </c>
      <c r="BH10" s="34"/>
      <c r="BI10" s="34"/>
      <c r="BJ10" s="34" t="s">
        <v>198</v>
      </c>
      <c r="BK10" s="34"/>
      <c r="BL10" s="34"/>
      <c r="BM10" s="34"/>
      <c r="BN10" s="107">
        <v>120000</v>
      </c>
      <c r="BO10" s="34"/>
      <c r="BP10" s="34"/>
      <c r="BQ10" s="34"/>
      <c r="BR10" s="34"/>
      <c r="BS10" s="85"/>
      <c r="BT10" s="85"/>
      <c r="BU10" s="85"/>
      <c r="BV10" s="85"/>
      <c r="BW10" s="85"/>
      <c r="BX10" s="85"/>
      <c r="BY10" s="85"/>
    </row>
    <row r="11" spans="2:77" s="60" customFormat="1" ht="18.75" customHeight="1">
      <c r="B11" s="77"/>
      <c r="C11" s="78"/>
      <c r="D11" s="79"/>
      <c r="E11" s="79"/>
      <c r="F11" s="79"/>
      <c r="G11" s="79"/>
      <c r="H11" s="79"/>
      <c r="I11" s="80"/>
      <c r="L11" s="77"/>
      <c r="M11" s="78"/>
      <c r="N11" s="97" t="s">
        <v>127</v>
      </c>
      <c r="O11" s="98"/>
      <c r="P11" s="89">
        <v>12.9</v>
      </c>
      <c r="Q11" s="95"/>
      <c r="U11" s="59"/>
      <c r="V11" s="113"/>
      <c r="W11" s="114"/>
      <c r="X11" s="395" t="s">
        <v>135</v>
      </c>
      <c r="Y11" s="395"/>
      <c r="Z11" s="395"/>
      <c r="AA11" s="121"/>
      <c r="AB11" s="117"/>
      <c r="AC11" s="29"/>
      <c r="AD11" s="107">
        <v>15000</v>
      </c>
      <c r="AE11" s="116"/>
      <c r="AI11" s="138">
        <v>0.75</v>
      </c>
      <c r="AJ11" s="34"/>
      <c r="AK11" s="34" t="s">
        <v>17</v>
      </c>
      <c r="AL11" s="34"/>
      <c r="AM11" s="34"/>
      <c r="AN11" s="34"/>
      <c r="AO11" s="107">
        <v>41200</v>
      </c>
      <c r="AP11" s="34"/>
      <c r="AQ11" s="34"/>
      <c r="AR11" s="34" t="s">
        <v>170</v>
      </c>
      <c r="AS11" s="34"/>
      <c r="AT11" s="34"/>
      <c r="AU11" s="108">
        <v>0</v>
      </c>
      <c r="AV11" s="140"/>
      <c r="AW11" s="143">
        <v>1940150</v>
      </c>
      <c r="AX11" s="140"/>
      <c r="BA11" s="396" t="s">
        <v>594</v>
      </c>
      <c r="BB11" s="334">
        <v>49280</v>
      </c>
      <c r="BC11" s="335" t="s">
        <v>189</v>
      </c>
      <c r="BD11" s="335"/>
      <c r="BE11" s="335"/>
      <c r="BF11" s="34"/>
      <c r="BG11" s="107">
        <v>0</v>
      </c>
      <c r="BH11" s="34"/>
      <c r="BI11" s="34"/>
      <c r="BJ11" s="335" t="s">
        <v>595</v>
      </c>
      <c r="BK11" s="335"/>
      <c r="BL11" s="335"/>
      <c r="BM11" s="335"/>
      <c r="BN11" s="343">
        <v>76000</v>
      </c>
      <c r="BO11" s="335"/>
      <c r="BP11" s="332">
        <f>1.1*55000</f>
        <v>60500.000000000007</v>
      </c>
      <c r="BQ11" s="34"/>
      <c r="BR11" s="34"/>
      <c r="BS11" s="85"/>
      <c r="BT11" s="85"/>
      <c r="BU11" s="85"/>
      <c r="BV11" s="85"/>
      <c r="BW11" s="85"/>
      <c r="BX11" s="85"/>
      <c r="BY11" s="85"/>
    </row>
    <row r="12" spans="2:77" ht="18.75">
      <c r="B12" s="73"/>
      <c r="C12" s="75" t="s">
        <v>111</v>
      </c>
      <c r="D12" s="26">
        <v>300</v>
      </c>
      <c r="E12" s="67"/>
      <c r="F12" s="26">
        <v>15000</v>
      </c>
      <c r="G12" s="67"/>
      <c r="H12" s="26">
        <v>4500000</v>
      </c>
      <c r="I12" s="74"/>
      <c r="L12" s="73"/>
      <c r="M12" s="78"/>
      <c r="N12" s="97" t="s">
        <v>125</v>
      </c>
      <c r="O12" s="98"/>
      <c r="P12" s="90">
        <f>P10*P11</f>
        <v>193500</v>
      </c>
      <c r="Q12" s="74"/>
      <c r="U12" s="58"/>
      <c r="V12" s="110"/>
      <c r="W12" s="118"/>
      <c r="X12" s="395" t="s">
        <v>136</v>
      </c>
      <c r="Y12" s="395"/>
      <c r="Z12" s="395"/>
      <c r="AA12" s="121"/>
      <c r="AB12" s="107">
        <v>55000</v>
      </c>
      <c r="AC12" s="64"/>
      <c r="AD12" s="117"/>
      <c r="AE12" s="112"/>
      <c r="AI12" s="139">
        <v>2.5</v>
      </c>
      <c r="AK12" s="34" t="s">
        <v>160</v>
      </c>
      <c r="AO12" s="107">
        <v>137500</v>
      </c>
      <c r="AW12" s="141"/>
      <c r="BA12" s="396"/>
      <c r="BB12" s="33"/>
      <c r="BC12" s="34" t="s">
        <v>191</v>
      </c>
      <c r="BD12" s="34"/>
      <c r="BE12" s="34"/>
      <c r="BF12" s="34"/>
      <c r="BG12" s="107">
        <v>212500</v>
      </c>
      <c r="BH12" s="34"/>
      <c r="BI12" s="34"/>
      <c r="BJ12" s="34" t="s">
        <v>64</v>
      </c>
      <c r="BK12" s="34"/>
      <c r="BL12" s="34"/>
      <c r="BM12" s="34"/>
      <c r="BN12" s="107">
        <v>25000</v>
      </c>
      <c r="BO12" s="34"/>
      <c r="BP12" s="34"/>
      <c r="BQ12" s="34"/>
      <c r="BR12" s="34"/>
      <c r="BS12" s="85"/>
      <c r="BT12" s="85"/>
      <c r="BU12" s="85"/>
      <c r="BV12" s="85"/>
      <c r="BW12" s="85"/>
      <c r="BX12" s="85"/>
      <c r="BY12" s="85"/>
    </row>
    <row r="13" spans="2:77" ht="18.75">
      <c r="B13" s="73"/>
      <c r="C13" s="75" t="s">
        <v>114</v>
      </c>
      <c r="D13" s="68">
        <v>300</v>
      </c>
      <c r="E13" s="67"/>
      <c r="F13" s="68">
        <v>14000</v>
      </c>
      <c r="G13" s="67"/>
      <c r="H13" s="68">
        <v>4200000</v>
      </c>
      <c r="I13" s="74"/>
      <c r="L13" s="73"/>
      <c r="M13" s="75" t="s">
        <v>126</v>
      </c>
      <c r="N13" s="75"/>
      <c r="O13" s="75"/>
      <c r="P13" s="99"/>
      <c r="Q13" s="74"/>
      <c r="U13" s="58"/>
      <c r="V13" s="110"/>
      <c r="W13" s="118"/>
      <c r="X13" s="395" t="s">
        <v>137</v>
      </c>
      <c r="Y13" s="395"/>
      <c r="Z13" s="395"/>
      <c r="AA13" s="395"/>
      <c r="AB13" s="108">
        <v>4</v>
      </c>
      <c r="AC13" s="64"/>
      <c r="AD13" s="107">
        <f>AB12*AB13</f>
        <v>220000</v>
      </c>
      <c r="AE13" s="112"/>
      <c r="AI13" s="138">
        <f>SUM(AI9:AI12)</f>
        <v>5.75</v>
      </c>
      <c r="AL13" s="332" t="s">
        <v>78</v>
      </c>
      <c r="AM13" s="332"/>
      <c r="AN13" s="332"/>
      <c r="AO13" s="107">
        <v>316250</v>
      </c>
      <c r="AS13" s="34" t="s">
        <v>175</v>
      </c>
      <c r="AW13" s="141"/>
      <c r="BA13" s="396"/>
      <c r="BB13" s="33"/>
      <c r="BC13" s="34" t="s">
        <v>57</v>
      </c>
      <c r="BD13" s="34"/>
      <c r="BE13" s="34"/>
      <c r="BF13" s="34"/>
      <c r="BG13" s="107">
        <v>1100000</v>
      </c>
      <c r="BH13" s="34"/>
      <c r="BI13" s="34"/>
      <c r="BJ13" s="34" t="s">
        <v>199</v>
      </c>
      <c r="BK13" s="34"/>
      <c r="BL13" s="34"/>
      <c r="BM13" s="34"/>
      <c r="BN13" s="107">
        <v>7500</v>
      </c>
      <c r="BO13" s="34"/>
      <c r="BP13" s="34"/>
      <c r="BQ13" s="34"/>
      <c r="BR13" s="34"/>
      <c r="BS13" s="85"/>
      <c r="BT13" s="85"/>
      <c r="BU13" s="85"/>
      <c r="BV13" s="85"/>
      <c r="BW13" s="85"/>
      <c r="BX13" s="85"/>
      <c r="BY13" s="85"/>
    </row>
    <row r="14" spans="2:77" ht="18.75">
      <c r="B14" s="73"/>
      <c r="C14" s="75" t="s">
        <v>115</v>
      </c>
      <c r="D14" s="26">
        <v>300</v>
      </c>
      <c r="E14" s="67"/>
      <c r="F14" s="26">
        <v>21000</v>
      </c>
      <c r="G14" s="67"/>
      <c r="H14" s="26">
        <v>6300000</v>
      </c>
      <c r="I14" s="74"/>
      <c r="L14" s="73"/>
      <c r="M14" s="75"/>
      <c r="N14" s="75" t="s">
        <v>112</v>
      </c>
      <c r="O14" s="75"/>
      <c r="P14" s="88">
        <v>10000</v>
      </c>
      <c r="Q14" s="74"/>
      <c r="U14" s="58"/>
      <c r="V14" s="110"/>
      <c r="W14" s="118"/>
      <c r="X14" s="118"/>
      <c r="Y14" s="118"/>
      <c r="Z14" s="118"/>
      <c r="AA14" s="118"/>
      <c r="AB14" s="117"/>
      <c r="AC14" s="64"/>
      <c r="AD14" s="108">
        <f>SUM(AD11:AD13)</f>
        <v>235000</v>
      </c>
      <c r="AE14" s="112"/>
      <c r="AI14" s="137"/>
      <c r="AO14" s="107"/>
      <c r="AR14" s="145" t="s">
        <v>26</v>
      </c>
      <c r="AU14" s="143">
        <v>953840</v>
      </c>
      <c r="AW14" s="141"/>
      <c r="BA14" s="396"/>
      <c r="BB14" s="33"/>
      <c r="BC14" s="34" t="s">
        <v>196</v>
      </c>
      <c r="BD14" s="34"/>
      <c r="BE14" s="34"/>
      <c r="BF14" s="34"/>
      <c r="BG14" s="107">
        <v>75000</v>
      </c>
      <c r="BH14" s="34"/>
      <c r="BI14" s="34"/>
      <c r="BJ14" s="34" t="s">
        <v>200</v>
      </c>
      <c r="BK14" s="34"/>
      <c r="BL14" s="34"/>
      <c r="BM14" s="34"/>
      <c r="BN14" s="107">
        <v>162500</v>
      </c>
      <c r="BO14" s="34"/>
      <c r="BP14" s="34"/>
      <c r="BQ14" s="34"/>
      <c r="BR14" s="34"/>
      <c r="BS14" s="85"/>
      <c r="BT14" s="85"/>
      <c r="BU14" s="85"/>
      <c r="BV14" s="85"/>
      <c r="BW14" s="85"/>
      <c r="BX14" s="85"/>
      <c r="BY14" s="85"/>
    </row>
    <row r="15" spans="2:77" ht="18.75">
      <c r="B15" s="73"/>
      <c r="C15" s="75"/>
      <c r="D15" s="67"/>
      <c r="E15" s="67"/>
      <c r="F15" s="67"/>
      <c r="G15" s="67"/>
      <c r="H15" s="68"/>
      <c r="I15" s="74"/>
      <c r="L15" s="73"/>
      <c r="M15" s="75"/>
      <c r="N15" s="75" t="s">
        <v>127</v>
      </c>
      <c r="O15" s="75"/>
      <c r="P15" s="89">
        <v>16</v>
      </c>
      <c r="Q15" s="74"/>
      <c r="U15" s="58"/>
      <c r="V15" s="110"/>
      <c r="W15" s="118"/>
      <c r="X15" s="118" t="s">
        <v>138</v>
      </c>
      <c r="Y15" s="118"/>
      <c r="Z15" s="118"/>
      <c r="AA15" s="118"/>
      <c r="AB15" s="117"/>
      <c r="AC15" s="64"/>
      <c r="AD15" s="108">
        <v>-150400</v>
      </c>
      <c r="AE15" s="112"/>
      <c r="AI15" s="137"/>
      <c r="AO15" s="87"/>
      <c r="AR15" s="34" t="s">
        <v>37</v>
      </c>
      <c r="AU15" s="143">
        <v>1920000</v>
      </c>
      <c r="AW15" s="141"/>
      <c r="BA15" s="396"/>
      <c r="BB15" s="33"/>
      <c r="BC15" s="34" t="s">
        <v>11</v>
      </c>
      <c r="BD15" s="34"/>
      <c r="BE15" s="34"/>
      <c r="BF15" s="34"/>
      <c r="BG15" s="107">
        <v>0</v>
      </c>
      <c r="BH15" s="34"/>
      <c r="BI15" s="34"/>
      <c r="BJ15" s="34"/>
      <c r="BK15" s="34"/>
      <c r="BL15" s="34"/>
      <c r="BM15" s="34"/>
      <c r="BN15" s="87"/>
      <c r="BO15" s="34"/>
      <c r="BP15" s="34"/>
      <c r="BQ15" s="34"/>
      <c r="BR15" s="34"/>
      <c r="BS15" s="85"/>
      <c r="BT15" s="85"/>
      <c r="BU15" s="85"/>
      <c r="BV15" s="85"/>
      <c r="BW15" s="85"/>
      <c r="BX15" s="85"/>
      <c r="BY15" s="85"/>
    </row>
    <row r="16" spans="2:77" ht="18.75">
      <c r="B16" s="73"/>
      <c r="C16" s="75" t="s">
        <v>116</v>
      </c>
      <c r="D16" s="26"/>
      <c r="E16" s="67"/>
      <c r="F16" s="26"/>
      <c r="G16" s="67"/>
      <c r="H16" s="26"/>
      <c r="I16" s="74"/>
      <c r="L16" s="73"/>
      <c r="M16" s="75"/>
      <c r="N16" s="75" t="s">
        <v>125</v>
      </c>
      <c r="O16" s="75"/>
      <c r="P16" s="90">
        <f>P14*P15</f>
        <v>160000</v>
      </c>
      <c r="Q16" s="74"/>
      <c r="U16" s="58"/>
      <c r="V16" s="110"/>
      <c r="W16" s="118"/>
      <c r="X16" s="340" t="s">
        <v>139</v>
      </c>
      <c r="Y16" s="118"/>
      <c r="Z16" s="118"/>
      <c r="AA16" s="118"/>
      <c r="AB16" s="117"/>
      <c r="AC16" s="64"/>
      <c r="AD16" s="341">
        <v>84600</v>
      </c>
      <c r="AE16" s="112"/>
      <c r="AI16" s="137"/>
      <c r="AJ16" s="34" t="s">
        <v>161</v>
      </c>
      <c r="AO16" s="87"/>
      <c r="AR16" s="34" t="s">
        <v>178</v>
      </c>
      <c r="AU16" s="143">
        <v>42300</v>
      </c>
      <c r="AW16" s="143">
        <v>2916140</v>
      </c>
      <c r="BB16" s="33"/>
      <c r="BC16" s="34" t="s">
        <v>192</v>
      </c>
      <c r="BD16" s="34"/>
      <c r="BE16" s="34"/>
      <c r="BF16" s="34"/>
      <c r="BG16" s="107">
        <v>50000</v>
      </c>
      <c r="BH16" s="34"/>
      <c r="BI16" s="34"/>
      <c r="BJ16" s="34"/>
      <c r="BK16" s="34" t="s">
        <v>78</v>
      </c>
      <c r="BL16" s="34"/>
      <c r="BM16" s="34"/>
      <c r="BN16" s="107">
        <f>SUM(BN9:BN14)</f>
        <v>791000</v>
      </c>
      <c r="BO16" s="34"/>
      <c r="BP16" s="34"/>
      <c r="BQ16" s="34"/>
      <c r="BR16" s="34"/>
      <c r="BS16" s="85"/>
      <c r="BT16" s="85"/>
      <c r="BU16" s="85"/>
      <c r="BV16" s="85"/>
      <c r="BW16" s="85"/>
      <c r="BX16" s="85"/>
      <c r="BY16" s="85"/>
    </row>
    <row r="17" spans="2:77" ht="18.75">
      <c r="B17" s="73"/>
      <c r="C17" s="75" t="s">
        <v>117</v>
      </c>
      <c r="D17" s="68"/>
      <c r="E17" s="67"/>
      <c r="F17" s="68"/>
      <c r="G17" s="67"/>
      <c r="H17" s="68">
        <v>15000000</v>
      </c>
      <c r="I17" s="74"/>
      <c r="L17" s="73"/>
      <c r="M17" s="75" t="s">
        <v>128</v>
      </c>
      <c r="N17" s="75"/>
      <c r="O17" s="75"/>
      <c r="P17" s="99"/>
      <c r="Q17" s="74"/>
      <c r="U17" s="58"/>
      <c r="V17" s="110"/>
      <c r="W17" s="118"/>
      <c r="X17" s="118" t="s">
        <v>140</v>
      </c>
      <c r="Y17" s="118"/>
      <c r="Z17" s="118"/>
      <c r="AA17" s="118"/>
      <c r="AB17" s="117"/>
      <c r="AC17" s="64"/>
      <c r="AD17" s="109">
        <v>12.9</v>
      </c>
      <c r="AE17" s="112"/>
      <c r="AK17" s="34" t="s">
        <v>66</v>
      </c>
      <c r="AO17" s="107">
        <v>500000</v>
      </c>
      <c r="AR17" s="144" t="s">
        <v>177</v>
      </c>
      <c r="AW17" s="143">
        <v>4856290</v>
      </c>
      <c r="BB17" s="33"/>
      <c r="BC17" s="34" t="s">
        <v>193</v>
      </c>
      <c r="BD17" s="34"/>
      <c r="BE17" s="34"/>
      <c r="BF17" s="34"/>
      <c r="BG17" s="107">
        <v>120000</v>
      </c>
      <c r="BH17" s="34"/>
      <c r="BI17" s="34"/>
      <c r="BJ17" s="34"/>
      <c r="BK17" s="34"/>
      <c r="BL17" s="34"/>
      <c r="BM17" s="34"/>
      <c r="BN17" s="87"/>
      <c r="BO17" s="34"/>
      <c r="BP17" s="34"/>
      <c r="BQ17" s="34"/>
      <c r="BR17" s="34"/>
      <c r="BS17" s="85"/>
      <c r="BT17" s="85"/>
      <c r="BU17" s="85"/>
      <c r="BV17" s="85"/>
      <c r="BW17" s="85"/>
      <c r="BX17" s="85"/>
      <c r="BY17" s="85"/>
    </row>
    <row r="18" spans="2:77" ht="18.75">
      <c r="B18" s="73"/>
      <c r="C18" s="75"/>
      <c r="D18" s="67"/>
      <c r="E18" s="67"/>
      <c r="F18" s="67"/>
      <c r="G18" s="67"/>
      <c r="H18" s="67"/>
      <c r="I18" s="74"/>
      <c r="L18" s="73"/>
      <c r="M18" s="75"/>
      <c r="N18" s="75" t="s">
        <v>112</v>
      </c>
      <c r="O18" s="75"/>
      <c r="P18" s="91"/>
      <c r="Q18" s="74"/>
      <c r="U18" s="58"/>
      <c r="V18" s="110"/>
      <c r="W18" s="118"/>
      <c r="X18" s="118" t="s">
        <v>141</v>
      </c>
      <c r="Y18" s="118"/>
      <c r="Z18" s="118"/>
      <c r="AA18" s="118"/>
      <c r="AB18" s="117"/>
      <c r="AC18" s="64"/>
      <c r="AD18" s="108">
        <v>1091340</v>
      </c>
      <c r="AE18" s="112"/>
      <c r="AK18" s="34" t="s">
        <v>29</v>
      </c>
      <c r="AO18" s="107">
        <v>5000</v>
      </c>
      <c r="AQ18" s="34" t="s">
        <v>171</v>
      </c>
      <c r="AW18" s="141"/>
      <c r="BB18" s="33"/>
      <c r="BC18" s="34" t="s">
        <v>194</v>
      </c>
      <c r="BD18" s="34"/>
      <c r="BE18" s="34"/>
      <c r="BF18" s="34"/>
      <c r="BG18" s="107">
        <v>75125</v>
      </c>
      <c r="BH18" s="34"/>
      <c r="BI18" s="34"/>
      <c r="BJ18" s="34"/>
      <c r="BK18" s="34"/>
      <c r="BL18" s="34"/>
      <c r="BM18" s="34"/>
      <c r="BN18" s="87"/>
      <c r="BO18" s="34"/>
      <c r="BP18" s="34"/>
      <c r="BQ18" s="34"/>
      <c r="BR18" s="34"/>
      <c r="BS18" s="85"/>
      <c r="BT18" s="85"/>
      <c r="BU18" s="85"/>
      <c r="BV18" s="85"/>
      <c r="BW18" s="85"/>
      <c r="BX18" s="85"/>
      <c r="BY18" s="85"/>
    </row>
    <row r="19" spans="2:77" ht="18.75">
      <c r="B19" s="73"/>
      <c r="C19" s="75" t="s">
        <v>118</v>
      </c>
      <c r="D19" s="26"/>
      <c r="E19" s="67"/>
      <c r="F19" s="26"/>
      <c r="G19" s="67"/>
      <c r="H19" s="26">
        <v>0</v>
      </c>
      <c r="I19" s="74"/>
      <c r="L19" s="73"/>
      <c r="M19" s="75"/>
      <c r="N19" s="75" t="s">
        <v>127</v>
      </c>
      <c r="O19" s="75"/>
      <c r="P19" s="92"/>
      <c r="Q19" s="74"/>
      <c r="U19" s="58"/>
      <c r="V19" s="110"/>
      <c r="W19" s="76"/>
      <c r="X19" s="76"/>
      <c r="Y19" s="76"/>
      <c r="Z19" s="76"/>
      <c r="AA19" s="76"/>
      <c r="AB19" s="117"/>
      <c r="AC19" s="64"/>
      <c r="AD19" s="117"/>
      <c r="AE19" s="112"/>
      <c r="AK19" s="34" t="s">
        <v>162</v>
      </c>
      <c r="AO19" s="107">
        <v>130000</v>
      </c>
      <c r="AR19" s="34" t="s">
        <v>179</v>
      </c>
      <c r="AU19" s="143">
        <v>193500</v>
      </c>
      <c r="AW19" s="141"/>
      <c r="BB19" s="33"/>
      <c r="BC19" s="34" t="s">
        <v>195</v>
      </c>
      <c r="BD19" s="34"/>
      <c r="BE19" s="34"/>
      <c r="BF19" s="34"/>
      <c r="BG19" s="107">
        <v>0</v>
      </c>
      <c r="BH19" s="34"/>
      <c r="BI19" s="34"/>
      <c r="BJ19" s="34"/>
      <c r="BK19" s="34"/>
      <c r="BL19" s="34"/>
      <c r="BM19" s="34"/>
      <c r="BN19" s="87"/>
      <c r="BO19" s="34"/>
      <c r="BP19" s="34"/>
      <c r="BQ19" s="34"/>
      <c r="BR19" s="34"/>
      <c r="BS19" s="85"/>
      <c r="BT19" s="85"/>
      <c r="BU19" s="85"/>
      <c r="BV19" s="85"/>
      <c r="BW19" s="85"/>
      <c r="BX19" s="85"/>
      <c r="BY19" s="85"/>
    </row>
    <row r="20" spans="2:77" ht="18.75">
      <c r="B20" s="73"/>
      <c r="C20" s="75"/>
      <c r="D20" s="67"/>
      <c r="E20" s="67"/>
      <c r="F20" s="67"/>
      <c r="G20" s="67"/>
      <c r="H20" s="67"/>
      <c r="I20" s="74"/>
      <c r="L20" s="73"/>
      <c r="M20" s="75"/>
      <c r="N20" s="75" t="s">
        <v>125</v>
      </c>
      <c r="O20" s="75"/>
      <c r="P20" s="92"/>
      <c r="Q20" s="74"/>
      <c r="U20" s="58"/>
      <c r="V20" s="110"/>
      <c r="W20" s="118" t="s">
        <v>142</v>
      </c>
      <c r="X20" s="118"/>
      <c r="Y20" s="118"/>
      <c r="Z20" s="118"/>
      <c r="AA20" s="118"/>
      <c r="AB20" s="117"/>
      <c r="AC20" s="64"/>
      <c r="AD20" s="117"/>
      <c r="AE20" s="112"/>
      <c r="AK20" s="34" t="s">
        <v>68</v>
      </c>
      <c r="AO20" s="107">
        <v>250000</v>
      </c>
      <c r="AR20" s="34" t="s">
        <v>180</v>
      </c>
      <c r="AU20" s="143">
        <v>160000</v>
      </c>
      <c r="AW20" s="143">
        <v>-353500</v>
      </c>
      <c r="AX20" s="142" t="s">
        <v>181</v>
      </c>
      <c r="BB20" s="33"/>
      <c r="BC20" s="34"/>
      <c r="BD20" s="34"/>
      <c r="BE20" s="34"/>
      <c r="BF20" s="34"/>
      <c r="BG20" s="87"/>
      <c r="BH20" s="34"/>
      <c r="BI20" s="34"/>
      <c r="BJ20" s="34"/>
      <c r="BK20" s="34"/>
      <c r="BL20" s="34"/>
      <c r="BM20" s="34"/>
      <c r="BN20" s="87"/>
      <c r="BO20" s="34"/>
      <c r="BP20" s="34"/>
      <c r="BQ20" s="34"/>
      <c r="BR20" s="34"/>
      <c r="BS20" s="85"/>
      <c r="BT20" s="85"/>
      <c r="BU20" s="85"/>
      <c r="BV20" s="85"/>
      <c r="BW20" s="85"/>
      <c r="BX20" s="85"/>
      <c r="BY20" s="85"/>
    </row>
    <row r="21" spans="2:77" ht="18.75">
      <c r="B21" s="73"/>
      <c r="C21" s="75" t="s">
        <v>119</v>
      </c>
      <c r="D21" s="67"/>
      <c r="E21" s="67"/>
      <c r="F21" s="26"/>
      <c r="G21" s="67"/>
      <c r="H21" s="26">
        <v>15000000</v>
      </c>
      <c r="I21" s="74"/>
      <c r="L21" s="73"/>
      <c r="M21" s="75"/>
      <c r="N21" s="75"/>
      <c r="O21" s="75"/>
      <c r="P21" s="99"/>
      <c r="Q21" s="74"/>
      <c r="U21" s="58"/>
      <c r="V21" s="110"/>
      <c r="W21" s="118"/>
      <c r="X21" s="118" t="s">
        <v>135</v>
      </c>
      <c r="Y21" s="118"/>
      <c r="Z21" s="118"/>
      <c r="AA21" s="118"/>
      <c r="AB21" s="117"/>
      <c r="AC21" s="64"/>
      <c r="AD21" s="107">
        <v>10000</v>
      </c>
      <c r="AE21" s="112"/>
      <c r="AK21" s="34" t="s">
        <v>69</v>
      </c>
      <c r="AO21" s="107">
        <v>10000</v>
      </c>
      <c r="AQ21" s="332" t="s">
        <v>593</v>
      </c>
      <c r="AW21" s="143">
        <v>4502790</v>
      </c>
      <c r="BB21" s="336">
        <f>SUM(BB11,BG9,BG10,BG12:BG19)</f>
        <v>7625905</v>
      </c>
      <c r="BC21" s="34"/>
      <c r="BD21" s="34" t="s">
        <v>78</v>
      </c>
      <c r="BE21" s="34"/>
      <c r="BF21" s="34"/>
      <c r="BG21" s="154">
        <f>SUM(BG9:BG19)</f>
        <v>7576625</v>
      </c>
      <c r="BH21" s="34"/>
      <c r="BI21" s="34"/>
      <c r="BJ21" s="34"/>
      <c r="BK21" s="34"/>
      <c r="BL21" s="34"/>
      <c r="BM21" s="34"/>
      <c r="BN21" s="87"/>
      <c r="BO21" s="34"/>
      <c r="BP21" s="34"/>
      <c r="BQ21" s="34"/>
      <c r="BR21" s="34"/>
      <c r="BS21" s="85"/>
      <c r="BT21" s="85"/>
      <c r="BU21" s="85"/>
      <c r="BV21" s="85"/>
      <c r="BW21" s="85"/>
      <c r="BX21" s="85"/>
      <c r="BY21" s="85"/>
    </row>
    <row r="22" spans="2:77" ht="18.75">
      <c r="B22" s="73"/>
      <c r="C22" s="75"/>
      <c r="D22" s="76"/>
      <c r="E22" s="76"/>
      <c r="F22" s="76"/>
      <c r="G22" s="76"/>
      <c r="H22" s="76"/>
      <c r="I22" s="74"/>
      <c r="L22" s="73"/>
      <c r="M22" s="75" t="s">
        <v>129</v>
      </c>
      <c r="N22" s="75"/>
      <c r="O22" s="75"/>
      <c r="P22" s="99"/>
      <c r="Q22" s="74"/>
      <c r="U22" s="58"/>
      <c r="V22" s="110"/>
      <c r="W22" s="118"/>
      <c r="X22" s="118" t="s">
        <v>136</v>
      </c>
      <c r="Y22" s="118"/>
      <c r="Z22" s="118"/>
      <c r="AA22" s="118"/>
      <c r="AB22" s="107">
        <v>55000</v>
      </c>
      <c r="AC22" s="64"/>
      <c r="AD22" s="117"/>
      <c r="AE22" s="112"/>
      <c r="AK22" s="34" t="s">
        <v>165</v>
      </c>
      <c r="AO22" s="107">
        <v>117500</v>
      </c>
      <c r="AQ22" s="34" t="s">
        <v>172</v>
      </c>
      <c r="AW22" s="143">
        <v>1742400</v>
      </c>
      <c r="BB22" s="33"/>
      <c r="BC22" s="34"/>
      <c r="BD22" s="34"/>
      <c r="BE22" s="34"/>
      <c r="BF22" s="34"/>
      <c r="BG22" s="141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85"/>
      <c r="BT22" s="85"/>
      <c r="BU22" s="85"/>
      <c r="BV22" s="85"/>
      <c r="BW22" s="85"/>
      <c r="BX22" s="85"/>
      <c r="BY22" s="85"/>
    </row>
    <row r="23" spans="2:77" ht="19.5" thickBot="1">
      <c r="B23" s="81"/>
      <c r="C23" s="82"/>
      <c r="D23" s="83"/>
      <c r="E23" s="83"/>
      <c r="F23" s="83"/>
      <c r="G23" s="83"/>
      <c r="H23" s="83"/>
      <c r="I23" s="84"/>
      <c r="L23" s="73"/>
      <c r="M23" s="75"/>
      <c r="N23" s="401" t="s">
        <v>130</v>
      </c>
      <c r="O23" s="401"/>
      <c r="P23" s="88">
        <f>5000*119.3</f>
        <v>596500</v>
      </c>
      <c r="Q23" s="74"/>
      <c r="U23" s="58"/>
      <c r="V23" s="110"/>
      <c r="W23" s="118"/>
      <c r="X23" s="118" t="s">
        <v>137</v>
      </c>
      <c r="Y23" s="118"/>
      <c r="Z23" s="118"/>
      <c r="AA23" s="118"/>
      <c r="AB23" s="108">
        <v>2</v>
      </c>
      <c r="AC23" s="64"/>
      <c r="AD23" s="107">
        <f>AB22*AB23</f>
        <v>110000</v>
      </c>
      <c r="AE23" s="112"/>
      <c r="AK23" s="34" t="s">
        <v>64</v>
      </c>
      <c r="AO23" s="107">
        <v>20000</v>
      </c>
      <c r="AW23" s="141"/>
      <c r="BB23" s="33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85"/>
      <c r="BT23" s="85"/>
      <c r="BU23" s="85"/>
      <c r="BV23" s="85"/>
      <c r="BW23" s="85"/>
      <c r="BX23" s="85"/>
      <c r="BY23" s="85"/>
    </row>
    <row r="24" spans="2:77" ht="16.5" thickBot="1">
      <c r="L24" s="81"/>
      <c r="M24" s="82"/>
      <c r="N24" s="82"/>
      <c r="O24" s="82"/>
      <c r="P24" s="100"/>
      <c r="Q24" s="84"/>
      <c r="U24" s="58"/>
      <c r="V24" s="110"/>
      <c r="W24" s="118"/>
      <c r="X24" s="118"/>
      <c r="Y24" s="118"/>
      <c r="Z24" s="118"/>
      <c r="AA24" s="118"/>
      <c r="AB24" s="117"/>
      <c r="AC24" s="64"/>
      <c r="AD24" s="108">
        <v>120000</v>
      </c>
      <c r="AE24" s="112"/>
      <c r="AK24" s="34" t="s">
        <v>71</v>
      </c>
      <c r="AO24" s="107">
        <v>15000</v>
      </c>
      <c r="AR24" s="34" t="s">
        <v>173</v>
      </c>
      <c r="AW24" s="143">
        <v>316250</v>
      </c>
      <c r="BB24" s="33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85"/>
      <c r="BT24" s="85"/>
      <c r="BU24" s="85"/>
      <c r="BV24" s="85"/>
      <c r="BW24" s="85"/>
      <c r="BX24" s="85"/>
      <c r="BY24" s="85"/>
    </row>
    <row r="25" spans="2:77">
      <c r="U25" s="58"/>
      <c r="V25" s="110"/>
      <c r="W25" s="118"/>
      <c r="X25" s="118" t="s">
        <v>138</v>
      </c>
      <c r="Y25" s="118"/>
      <c r="Z25" s="118"/>
      <c r="AA25" s="118"/>
      <c r="AB25" s="117"/>
      <c r="AC25" s="64"/>
      <c r="AD25" s="108">
        <v>0</v>
      </c>
      <c r="AE25" s="112"/>
      <c r="AK25" s="34" t="s">
        <v>163</v>
      </c>
      <c r="AO25" s="107">
        <v>0</v>
      </c>
      <c r="AR25" s="34" t="s">
        <v>592</v>
      </c>
      <c r="AW25" s="141">
        <v>1047500</v>
      </c>
      <c r="BB25" s="33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85"/>
      <c r="BT25" s="85"/>
      <c r="BU25" s="85"/>
      <c r="BV25" s="85"/>
      <c r="BW25" s="85"/>
      <c r="BX25" s="85"/>
      <c r="BY25" s="85"/>
    </row>
    <row r="26" spans="2:77" ht="16.5" thickBot="1">
      <c r="U26" s="58"/>
      <c r="V26" s="110"/>
      <c r="W26" s="118"/>
      <c r="X26" s="340" t="s">
        <v>139</v>
      </c>
      <c r="Y26" s="118"/>
      <c r="Z26" s="118"/>
      <c r="AA26" s="118"/>
      <c r="AB26" s="117"/>
      <c r="AC26" s="64"/>
      <c r="AD26" s="341">
        <v>120000</v>
      </c>
      <c r="AE26" s="112"/>
      <c r="AO26" s="87"/>
      <c r="AQ26" s="34" t="s">
        <v>174</v>
      </c>
      <c r="AW26" s="150">
        <f>SUM(AW21:AW25)</f>
        <v>7608940</v>
      </c>
      <c r="BB26" s="33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85"/>
      <c r="BT26" s="85"/>
      <c r="BU26" s="85"/>
      <c r="BV26" s="85"/>
      <c r="BW26" s="85"/>
      <c r="BX26" s="85"/>
      <c r="BY26" s="85"/>
    </row>
    <row r="27" spans="2:77">
      <c r="L27" s="69"/>
      <c r="M27" s="70"/>
      <c r="N27" s="70"/>
      <c r="O27" s="70"/>
      <c r="P27" s="101"/>
      <c r="Q27" s="72"/>
      <c r="U27" s="58"/>
      <c r="V27" s="110"/>
      <c r="W27" s="118"/>
      <c r="X27" s="118" t="s">
        <v>140</v>
      </c>
      <c r="Y27" s="118"/>
      <c r="Z27" s="118"/>
      <c r="AA27" s="118"/>
      <c r="AB27" s="117"/>
      <c r="AC27" s="64"/>
      <c r="AD27" s="109">
        <v>16</v>
      </c>
      <c r="AE27" s="112"/>
      <c r="AL27" s="332" t="s">
        <v>592</v>
      </c>
      <c r="AO27" s="107">
        <f>SUM(AO17:AO25)</f>
        <v>1047500</v>
      </c>
      <c r="AW27" s="141"/>
      <c r="BA27" s="40">
        <f>150</f>
        <v>150</v>
      </c>
      <c r="BB27" s="33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85"/>
      <c r="BT27" s="85"/>
      <c r="BU27" s="85"/>
      <c r="BV27" s="85"/>
      <c r="BW27" s="85"/>
      <c r="BX27" s="85"/>
      <c r="BY27" s="85"/>
    </row>
    <row r="28" spans="2:77">
      <c r="B28" s="391" t="s">
        <v>108</v>
      </c>
      <c r="C28" s="391"/>
      <c r="D28" s="391"/>
      <c r="E28" s="391"/>
      <c r="F28" s="391"/>
      <c r="G28" s="391"/>
      <c r="H28" s="391"/>
      <c r="L28" s="73"/>
      <c r="M28" s="75"/>
      <c r="N28" s="393" t="s">
        <v>121</v>
      </c>
      <c r="O28" s="393"/>
      <c r="P28" s="393"/>
      <c r="Q28" s="400"/>
      <c r="U28" s="58"/>
      <c r="V28" s="110"/>
      <c r="W28" s="118"/>
      <c r="X28" s="118" t="s">
        <v>143</v>
      </c>
      <c r="Y28" s="118"/>
      <c r="Z28" s="118"/>
      <c r="AA28" s="118"/>
      <c r="AB28" s="117"/>
      <c r="AC28" s="64"/>
      <c r="AD28" s="108">
        <v>1920000</v>
      </c>
      <c r="AE28" s="112"/>
      <c r="AQ28" s="146" t="s">
        <v>182</v>
      </c>
      <c r="AR28" s="146"/>
      <c r="AS28" s="146"/>
      <c r="AT28" s="147">
        <v>1091340</v>
      </c>
      <c r="AW28" s="141"/>
      <c r="BA28" s="40">
        <f>42768/150400</f>
        <v>0.2843617021276596</v>
      </c>
      <c r="BB28" s="33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85"/>
      <c r="BT28" s="85"/>
      <c r="BU28" s="85"/>
      <c r="BV28" s="85"/>
      <c r="BW28" s="85"/>
      <c r="BX28" s="85"/>
      <c r="BY28" s="85"/>
    </row>
    <row r="29" spans="2:77">
      <c r="L29" s="73"/>
      <c r="M29" s="75"/>
      <c r="N29" s="393" t="s">
        <v>131</v>
      </c>
      <c r="O29" s="393"/>
      <c r="P29" s="393"/>
      <c r="Q29" s="400"/>
      <c r="V29" s="73"/>
      <c r="W29" s="37"/>
      <c r="X29" s="37"/>
      <c r="Y29" s="37"/>
      <c r="Z29" s="37"/>
      <c r="AA29" s="37"/>
      <c r="AB29" s="119"/>
      <c r="AC29" s="31"/>
      <c r="AD29" s="119"/>
      <c r="AE29" s="74"/>
      <c r="AQ29" s="146" t="s">
        <v>183</v>
      </c>
      <c r="AR29" s="146"/>
      <c r="AS29" s="146"/>
      <c r="AT29" s="148">
        <v>-137500</v>
      </c>
      <c r="AW29" s="141"/>
      <c r="BB29" s="33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85"/>
      <c r="BT29" s="85"/>
      <c r="BU29" s="85"/>
      <c r="BV29" s="85"/>
      <c r="BW29" s="85"/>
      <c r="BX29" s="85"/>
      <c r="BY29" s="85"/>
    </row>
    <row r="30" spans="2:77">
      <c r="C30" s="40" t="s">
        <v>121</v>
      </c>
      <c r="L30" s="73"/>
      <c r="M30" s="75"/>
      <c r="N30" s="393" t="s">
        <v>123</v>
      </c>
      <c r="O30" s="393"/>
      <c r="P30" s="393"/>
      <c r="Q30" s="400"/>
      <c r="V30" s="73"/>
      <c r="W30" s="37"/>
      <c r="X30" s="37" t="s">
        <v>144</v>
      </c>
      <c r="Y30" s="37"/>
      <c r="Z30" s="37"/>
      <c r="AA30" s="37"/>
      <c r="AB30" s="119"/>
      <c r="AC30" s="31"/>
      <c r="AD30" s="107">
        <v>3011300</v>
      </c>
      <c r="AE30" s="74"/>
      <c r="AQ30" s="146"/>
      <c r="AR30" s="146"/>
      <c r="AS30" s="146"/>
      <c r="AT30" s="149">
        <f>SUM(AT28:AT29)</f>
        <v>953840</v>
      </c>
      <c r="AW30" s="141"/>
      <c r="BB30" s="33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85"/>
      <c r="BT30" s="85"/>
      <c r="BU30" s="85"/>
      <c r="BV30" s="85"/>
      <c r="BW30" s="85"/>
      <c r="BX30" s="85"/>
      <c r="BY30" s="85"/>
    </row>
    <row r="31" spans="2:77" ht="16.5" thickBot="1">
      <c r="C31" s="40" t="s">
        <v>122</v>
      </c>
      <c r="L31" s="73"/>
      <c r="M31" s="75"/>
      <c r="N31" s="75"/>
      <c r="O31" s="75"/>
      <c r="P31" s="96"/>
      <c r="Q31" s="74"/>
      <c r="V31" s="81"/>
      <c r="W31" s="120"/>
      <c r="X31" s="120"/>
      <c r="Y31" s="120"/>
      <c r="Z31" s="120"/>
      <c r="AA31" s="120"/>
      <c r="AB31" s="100"/>
      <c r="AC31" s="82"/>
      <c r="AD31" s="100"/>
      <c r="AE31" s="84"/>
      <c r="AW31" s="141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</row>
    <row r="32" spans="2:77" ht="18.75">
      <c r="C32" s="40" t="s">
        <v>123</v>
      </c>
      <c r="L32" s="73"/>
      <c r="M32" s="75" t="s">
        <v>3</v>
      </c>
      <c r="N32" s="75"/>
      <c r="O32" s="75"/>
      <c r="P32" s="88">
        <v>50000</v>
      </c>
      <c r="Q32" s="74"/>
      <c r="W32" s="33"/>
      <c r="X32" s="33"/>
      <c r="Y32" s="33"/>
      <c r="Z32" s="33"/>
      <c r="AA32" s="33"/>
      <c r="AW32" s="141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</row>
    <row r="33" spans="12:70" ht="19.5" thickBot="1">
      <c r="L33" s="73"/>
      <c r="M33" s="75"/>
      <c r="N33" s="75"/>
      <c r="O33" s="75"/>
      <c r="P33" s="102"/>
      <c r="Q33" s="74"/>
      <c r="W33" s="33"/>
      <c r="X33" s="33"/>
      <c r="Y33" s="33"/>
      <c r="Z33" s="33"/>
      <c r="AA33" s="33"/>
      <c r="AW33" s="141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</row>
    <row r="34" spans="12:70" ht="18.75">
      <c r="L34" s="73"/>
      <c r="M34" s="75" t="s">
        <v>132</v>
      </c>
      <c r="N34" s="75"/>
      <c r="O34" s="75"/>
      <c r="P34" s="88">
        <v>5000</v>
      </c>
      <c r="Q34" s="74"/>
      <c r="S34" s="69"/>
      <c r="T34" s="70"/>
      <c r="U34" s="70"/>
      <c r="V34" s="70"/>
      <c r="W34" s="129"/>
      <c r="X34" s="129"/>
      <c r="Y34" s="129"/>
      <c r="Z34" s="129"/>
      <c r="AA34" s="129"/>
      <c r="AB34" s="101"/>
      <c r="AC34" s="70"/>
      <c r="AD34" s="101"/>
      <c r="AE34" s="70"/>
      <c r="AF34" s="72"/>
      <c r="AW34" s="141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</row>
    <row r="35" spans="12:70" ht="18.75">
      <c r="L35" s="73"/>
      <c r="M35" s="75"/>
      <c r="N35" s="75"/>
      <c r="O35" s="75"/>
      <c r="P35" s="102"/>
      <c r="Q35" s="74"/>
      <c r="S35" s="73"/>
      <c r="T35" s="75"/>
      <c r="U35" s="75"/>
      <c r="V35" s="75"/>
      <c r="W35" s="75"/>
      <c r="X35" s="37"/>
      <c r="Y35" s="392" t="s">
        <v>121</v>
      </c>
      <c r="Z35" s="392"/>
      <c r="AA35" s="392"/>
      <c r="AB35" s="392"/>
      <c r="AC35" s="37"/>
      <c r="AD35" s="130"/>
      <c r="AE35" s="75"/>
      <c r="AF35" s="74"/>
      <c r="AW35" s="141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</row>
    <row r="36" spans="12:70" ht="18.75">
      <c r="L36" s="73"/>
      <c r="M36" s="75"/>
      <c r="N36" s="75"/>
      <c r="O36" s="75"/>
      <c r="P36" s="88">
        <v>55000</v>
      </c>
      <c r="Q36" s="74"/>
      <c r="S36" s="73"/>
      <c r="T36" s="75"/>
      <c r="U36" s="75"/>
      <c r="V36" s="75"/>
      <c r="W36" s="75"/>
      <c r="X36" s="37"/>
      <c r="Y36" s="392" t="s">
        <v>145</v>
      </c>
      <c r="Z36" s="392"/>
      <c r="AA36" s="392"/>
      <c r="AB36" s="392"/>
      <c r="AC36" s="37"/>
      <c r="AD36" s="130"/>
      <c r="AE36" s="75"/>
      <c r="AF36" s="74"/>
      <c r="AW36" s="141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</row>
    <row r="37" spans="12:70" ht="18.75">
      <c r="L37" s="73"/>
      <c r="M37" s="75" t="s">
        <v>133</v>
      </c>
      <c r="N37" s="75"/>
      <c r="O37" s="75"/>
      <c r="P37" s="90">
        <v>0</v>
      </c>
      <c r="Q37" s="74"/>
      <c r="S37" s="73"/>
      <c r="T37" s="75"/>
      <c r="U37" s="75"/>
      <c r="V37" s="75"/>
      <c r="W37" s="75"/>
      <c r="X37" s="37"/>
      <c r="Y37" s="392" t="s">
        <v>123</v>
      </c>
      <c r="Z37" s="392"/>
      <c r="AA37" s="392"/>
      <c r="AB37" s="392"/>
      <c r="AC37" s="37"/>
      <c r="AD37" s="130"/>
      <c r="AE37" s="75"/>
      <c r="AF37" s="74"/>
      <c r="AW37" s="141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</row>
    <row r="38" spans="12:70" ht="18.75">
      <c r="L38" s="73"/>
      <c r="M38" s="75"/>
      <c r="N38" s="75"/>
      <c r="O38" s="75"/>
      <c r="P38" s="90">
        <v>55000</v>
      </c>
      <c r="Q38" s="74"/>
      <c r="S38" s="73"/>
      <c r="T38" s="75"/>
      <c r="U38" s="75"/>
      <c r="V38" s="75"/>
      <c r="W38" s="75"/>
      <c r="X38" s="37"/>
      <c r="Y38" s="37"/>
      <c r="Z38" s="37"/>
      <c r="AA38" s="37"/>
      <c r="AB38" s="130"/>
      <c r="AC38" s="37"/>
      <c r="AD38" s="130"/>
      <c r="AE38" s="75"/>
      <c r="AF38" s="74"/>
      <c r="AW38" s="141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</row>
    <row r="39" spans="12:70" ht="16.5" thickBot="1">
      <c r="L39" s="81"/>
      <c r="M39" s="82"/>
      <c r="N39" s="82"/>
      <c r="O39" s="82"/>
      <c r="P39" s="100"/>
      <c r="Q39" s="84"/>
      <c r="S39" s="73"/>
      <c r="T39" s="75"/>
      <c r="U39" s="75"/>
      <c r="V39" s="75"/>
      <c r="W39" s="75"/>
      <c r="X39" s="131" t="s">
        <v>146</v>
      </c>
      <c r="Y39" s="131"/>
      <c r="Z39" s="131" t="s">
        <v>147</v>
      </c>
      <c r="AA39" s="131"/>
      <c r="AB39" s="131" t="s">
        <v>148</v>
      </c>
      <c r="AC39" s="131"/>
      <c r="AD39" s="131" t="s">
        <v>78</v>
      </c>
      <c r="AE39" s="75"/>
      <c r="AF39" s="74"/>
    </row>
    <row r="40" spans="12:70">
      <c r="S40" s="73"/>
      <c r="T40" s="399" t="s">
        <v>149</v>
      </c>
      <c r="U40" s="399"/>
      <c r="V40" s="399"/>
      <c r="W40" s="399"/>
      <c r="X40" s="63">
        <v>55000</v>
      </c>
      <c r="Y40" s="64"/>
      <c r="Z40" s="63">
        <v>55000</v>
      </c>
      <c r="AA40" s="64"/>
      <c r="AB40" s="107">
        <v>55000</v>
      </c>
      <c r="AC40" s="64"/>
      <c r="AD40" s="107">
        <v>55000</v>
      </c>
      <c r="AE40" s="75"/>
      <c r="AF40" s="74"/>
    </row>
    <row r="41" spans="12:70">
      <c r="S41" s="73"/>
      <c r="T41" s="399" t="s">
        <v>150</v>
      </c>
      <c r="U41" s="399"/>
      <c r="V41" s="399"/>
      <c r="W41" s="399"/>
      <c r="X41" s="123">
        <v>1.8</v>
      </c>
      <c r="Y41" s="132"/>
      <c r="Z41" s="125">
        <v>1.8</v>
      </c>
      <c r="AA41" s="132"/>
      <c r="AB41" s="127">
        <v>1.8</v>
      </c>
      <c r="AC41" s="64"/>
      <c r="AD41" s="107"/>
      <c r="AE41" s="75"/>
      <c r="AF41" s="74"/>
    </row>
    <row r="42" spans="12:70">
      <c r="S42" s="73"/>
      <c r="T42" s="399" t="s">
        <v>151</v>
      </c>
      <c r="U42" s="399"/>
      <c r="V42" s="399"/>
      <c r="W42" s="399"/>
      <c r="X42" s="65">
        <v>99000</v>
      </c>
      <c r="Y42" s="64"/>
      <c r="Z42" s="63">
        <v>99000</v>
      </c>
      <c r="AA42" s="64"/>
      <c r="AB42" s="107">
        <v>99000</v>
      </c>
      <c r="AC42" s="64"/>
      <c r="AD42" s="107"/>
      <c r="AE42" s="75"/>
      <c r="AF42" s="74"/>
    </row>
    <row r="43" spans="12:70">
      <c r="S43" s="73"/>
      <c r="T43" s="399" t="s">
        <v>152</v>
      </c>
      <c r="U43" s="399"/>
      <c r="V43" s="399"/>
      <c r="W43" s="399"/>
      <c r="X43" s="124">
        <v>8</v>
      </c>
      <c r="Y43" s="133"/>
      <c r="Z43" s="126">
        <v>8</v>
      </c>
      <c r="AA43" s="133"/>
      <c r="AB43" s="135" t="s">
        <v>157</v>
      </c>
      <c r="AC43" s="64"/>
      <c r="AD43" s="107"/>
      <c r="AE43" s="75"/>
      <c r="AF43" s="74"/>
    </row>
    <row r="44" spans="12:70">
      <c r="S44" s="73"/>
      <c r="T44" s="399" t="s">
        <v>153</v>
      </c>
      <c r="U44" s="399"/>
      <c r="V44" s="399"/>
      <c r="W44" s="399"/>
      <c r="X44" s="65">
        <v>792000</v>
      </c>
      <c r="Y44" s="75"/>
      <c r="Z44" s="63">
        <v>792000</v>
      </c>
      <c r="AA44" s="64"/>
      <c r="AB44" s="107"/>
      <c r="AC44" s="64"/>
      <c r="AD44" s="107"/>
      <c r="AE44" s="75"/>
      <c r="AF44" s="74"/>
    </row>
    <row r="45" spans="12:70">
      <c r="S45" s="73"/>
      <c r="T45" s="399" t="s">
        <v>154</v>
      </c>
      <c r="U45" s="399"/>
      <c r="V45" s="399"/>
      <c r="W45" s="399"/>
      <c r="X45" s="123">
        <v>1.1000000000000001</v>
      </c>
      <c r="Y45" s="75"/>
      <c r="Z45" s="125">
        <v>1.1000000000000001</v>
      </c>
      <c r="AA45" s="64"/>
      <c r="AB45" s="107"/>
      <c r="AC45" s="64"/>
      <c r="AD45" s="107"/>
      <c r="AE45" s="75"/>
      <c r="AF45" s="74"/>
    </row>
    <row r="46" spans="12:70">
      <c r="S46" s="73"/>
      <c r="T46" s="399" t="s">
        <v>155</v>
      </c>
      <c r="U46" s="399"/>
      <c r="V46" s="399"/>
      <c r="W46" s="399"/>
      <c r="X46" s="65">
        <v>871200</v>
      </c>
      <c r="Y46" s="64"/>
      <c r="Z46" s="63">
        <v>871200</v>
      </c>
      <c r="AA46" s="64"/>
      <c r="AB46" s="107"/>
      <c r="AC46" s="64"/>
      <c r="AD46" s="107">
        <v>1742400</v>
      </c>
      <c r="AE46" s="75"/>
      <c r="AF46" s="74"/>
    </row>
    <row r="47" spans="12:70">
      <c r="S47" s="134"/>
      <c r="T47" s="75"/>
      <c r="U47" s="75"/>
      <c r="V47" s="75"/>
      <c r="W47" s="75"/>
      <c r="X47" s="75"/>
      <c r="Y47" s="75"/>
      <c r="Z47" s="75"/>
      <c r="AA47" s="75"/>
      <c r="AB47" s="96"/>
      <c r="AC47" s="75"/>
      <c r="AD47" s="96"/>
      <c r="AE47" s="75"/>
      <c r="AF47" s="74"/>
    </row>
    <row r="48" spans="12:70">
      <c r="S48" s="397" t="s">
        <v>156</v>
      </c>
      <c r="T48" s="392"/>
      <c r="U48" s="392"/>
      <c r="V48" s="392"/>
      <c r="W48" s="392"/>
      <c r="X48" s="392"/>
      <c r="Y48" s="392"/>
      <c r="Z48" s="392"/>
      <c r="AA48" s="392"/>
      <c r="AB48" s="392"/>
      <c r="AC48" s="392"/>
      <c r="AD48" s="392"/>
      <c r="AE48" s="392"/>
      <c r="AF48" s="398"/>
    </row>
    <row r="49" spans="19:32" ht="16.5" thickBot="1">
      <c r="S49" s="81"/>
      <c r="T49" s="82"/>
      <c r="U49" s="82"/>
      <c r="V49" s="82"/>
      <c r="W49" s="82"/>
      <c r="X49" s="82"/>
      <c r="Y49" s="82"/>
      <c r="Z49" s="82"/>
      <c r="AA49" s="82"/>
      <c r="AB49" s="100"/>
      <c r="AC49" s="82"/>
      <c r="AD49" s="100"/>
      <c r="AE49" s="82"/>
      <c r="AF49" s="84"/>
    </row>
  </sheetData>
  <mergeCells count="35">
    <mergeCell ref="C6:H6"/>
    <mergeCell ref="C7:H7"/>
    <mergeCell ref="C8:H8"/>
    <mergeCell ref="B3:H3"/>
    <mergeCell ref="B28:H28"/>
    <mergeCell ref="L2:R2"/>
    <mergeCell ref="N23:O23"/>
    <mergeCell ref="M5:P5"/>
    <mergeCell ref="M6:P6"/>
    <mergeCell ref="M7:P7"/>
    <mergeCell ref="N28:Q28"/>
    <mergeCell ref="N29:Q29"/>
    <mergeCell ref="N30:Q30"/>
    <mergeCell ref="Y5:AB5"/>
    <mergeCell ref="Y6:AB6"/>
    <mergeCell ref="S48:AF48"/>
    <mergeCell ref="T40:W40"/>
    <mergeCell ref="T46:W46"/>
    <mergeCell ref="T45:W45"/>
    <mergeCell ref="T44:W44"/>
    <mergeCell ref="T43:W43"/>
    <mergeCell ref="T42:W42"/>
    <mergeCell ref="T41:W41"/>
    <mergeCell ref="T2:AA2"/>
    <mergeCell ref="AI2:AP2"/>
    <mergeCell ref="BB2:BI2"/>
    <mergeCell ref="Y36:AB36"/>
    <mergeCell ref="Y37:AB37"/>
    <mergeCell ref="Y7:AB7"/>
    <mergeCell ref="W10:X10"/>
    <mergeCell ref="X11:Z11"/>
    <mergeCell ref="X12:Z12"/>
    <mergeCell ref="X13:AA13"/>
    <mergeCell ref="Y35:AB35"/>
    <mergeCell ref="BA11:BA1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AC85"/>
  <sheetViews>
    <sheetView topLeftCell="K31" workbookViewId="0">
      <selection activeCell="W21" sqref="W21"/>
    </sheetView>
  </sheetViews>
  <sheetFormatPr defaultRowHeight="15"/>
  <cols>
    <col min="1" max="1" width="9.140625" style="33"/>
    <col min="2" max="2" width="4" style="33" customWidth="1"/>
    <col min="3" max="3" width="9.140625" style="33"/>
    <col min="4" max="4" width="12.7109375" style="33" bestFit="1" customWidth="1"/>
    <col min="5" max="6" width="9.140625" style="33"/>
    <col min="7" max="7" width="12.7109375" style="62" bestFit="1" customWidth="1"/>
    <col min="8" max="8" width="2.140625" style="62" customWidth="1"/>
    <col min="9" max="9" width="12.7109375" style="62" bestFit="1" customWidth="1"/>
    <col min="10" max="14" width="9.140625" style="33"/>
    <col min="15" max="15" width="3.42578125" style="33" customWidth="1"/>
    <col min="16" max="16" width="4.28515625" style="33" customWidth="1"/>
    <col min="17" max="17" width="4.5703125" style="33" customWidth="1"/>
    <col min="18" max="20" width="9.140625" style="33"/>
    <col min="21" max="21" width="11.42578125" style="106" bestFit="1" customWidth="1"/>
    <col min="22" max="22" width="1.5703125" style="106" customWidth="1"/>
    <col min="23" max="23" width="11.42578125" style="62" bestFit="1" customWidth="1"/>
    <col min="24" max="24" width="2.140625" style="62" customWidth="1"/>
    <col min="25" max="25" width="12.140625" style="62" bestFit="1" customWidth="1"/>
    <col min="26" max="26" width="2" style="62" customWidth="1"/>
    <col min="27" max="27" width="11.42578125" style="62" bestFit="1" customWidth="1"/>
    <col min="28" max="28" width="9.140625" style="62"/>
    <col min="29" max="16384" width="9.140625" style="33"/>
  </cols>
  <sheetData>
    <row r="3" spans="2:29">
      <c r="B3" s="61" t="s">
        <v>601</v>
      </c>
      <c r="O3" s="61" t="s">
        <v>247</v>
      </c>
    </row>
    <row r="5" spans="2:29">
      <c r="B5" s="33" t="s">
        <v>201</v>
      </c>
      <c r="I5" s="63">
        <v>15000000</v>
      </c>
      <c r="O5" s="33" t="s">
        <v>248</v>
      </c>
    </row>
    <row r="6" spans="2:29">
      <c r="P6" s="33" t="s">
        <v>249</v>
      </c>
      <c r="AA6" s="342">
        <v>596143</v>
      </c>
    </row>
    <row r="7" spans="2:29">
      <c r="B7" s="33" t="s">
        <v>202</v>
      </c>
      <c r="Q7" s="33" t="s">
        <v>250</v>
      </c>
    </row>
    <row r="8" spans="2:29">
      <c r="C8" s="33" t="s">
        <v>203</v>
      </c>
      <c r="G8" s="63">
        <v>0</v>
      </c>
      <c r="Q8" s="33" t="s">
        <v>251</v>
      </c>
      <c r="W8" s="63">
        <v>0</v>
      </c>
    </row>
    <row r="9" spans="2:29">
      <c r="C9" s="33" t="s">
        <v>204</v>
      </c>
      <c r="G9" s="63">
        <v>6561440</v>
      </c>
      <c r="R9" s="33" t="s">
        <v>252</v>
      </c>
      <c r="W9" s="65">
        <v>0</v>
      </c>
      <c r="Y9" s="63"/>
    </row>
    <row r="10" spans="2:29">
      <c r="G10" s="65"/>
      <c r="Q10" s="33" t="s">
        <v>253</v>
      </c>
      <c r="Y10" s="65">
        <v>353500</v>
      </c>
    </row>
    <row r="11" spans="2:29">
      <c r="C11" s="33" t="s">
        <v>205</v>
      </c>
      <c r="G11" s="63">
        <v>-596500</v>
      </c>
      <c r="Q11" s="33" t="s">
        <v>254</v>
      </c>
      <c r="Y11" s="65">
        <v>596500</v>
      </c>
    </row>
    <row r="12" spans="2:29">
      <c r="G12" s="65"/>
      <c r="Q12" s="152" t="s">
        <v>256</v>
      </c>
      <c r="Y12" s="162">
        <v>870174</v>
      </c>
    </row>
    <row r="13" spans="2:29">
      <c r="C13" s="33" t="s">
        <v>206</v>
      </c>
      <c r="G13" s="63"/>
      <c r="I13" s="63">
        <v>5964940</v>
      </c>
      <c r="S13" s="33" t="s">
        <v>255</v>
      </c>
      <c r="AA13" s="63">
        <v>2416317</v>
      </c>
      <c r="AC13" s="104"/>
    </row>
    <row r="14" spans="2:29">
      <c r="AC14" s="104"/>
    </row>
    <row r="15" spans="2:29">
      <c r="B15" s="152" t="s">
        <v>600</v>
      </c>
      <c r="I15" s="63">
        <v>9035060</v>
      </c>
      <c r="P15" s="33" t="s">
        <v>257</v>
      </c>
    </row>
    <row r="16" spans="2:29">
      <c r="Q16" s="33" t="s">
        <v>258</v>
      </c>
      <c r="U16" s="63">
        <v>4700000</v>
      </c>
      <c r="V16" s="62"/>
    </row>
    <row r="17" spans="2:27">
      <c r="B17" s="33" t="s">
        <v>207</v>
      </c>
      <c r="R17" s="33" t="s">
        <v>259</v>
      </c>
      <c r="W17" s="63">
        <v>470000</v>
      </c>
      <c r="Y17" s="63">
        <v>4230000</v>
      </c>
    </row>
    <row r="18" spans="2:27">
      <c r="Q18" s="33" t="s">
        <v>260</v>
      </c>
      <c r="U18" s="39">
        <v>300000</v>
      </c>
    </row>
    <row r="19" spans="2:27">
      <c r="C19" s="33" t="s">
        <v>208</v>
      </c>
      <c r="G19" s="63">
        <v>7576625</v>
      </c>
      <c r="R19" s="33" t="s">
        <v>261</v>
      </c>
      <c r="W19" s="63">
        <v>30000</v>
      </c>
      <c r="Y19" s="63">
        <v>270000</v>
      </c>
    </row>
    <row r="20" spans="2:27">
      <c r="C20" s="33" t="s">
        <v>15</v>
      </c>
      <c r="G20" s="342">
        <v>730000</v>
      </c>
      <c r="Q20" s="33" t="s">
        <v>262</v>
      </c>
      <c r="U20" s="39">
        <v>2000000</v>
      </c>
    </row>
    <row r="21" spans="2:27">
      <c r="C21" s="33" t="s">
        <v>209</v>
      </c>
      <c r="G21" s="63">
        <v>1047500</v>
      </c>
      <c r="I21" s="63">
        <v>9354125</v>
      </c>
      <c r="R21" s="33" t="s">
        <v>263</v>
      </c>
      <c r="W21" s="63">
        <v>120000</v>
      </c>
      <c r="Y21" s="63">
        <v>1880000</v>
      </c>
    </row>
    <row r="23" spans="2:27">
      <c r="B23" s="33" t="s">
        <v>210</v>
      </c>
      <c r="I23" s="63">
        <v>-319065</v>
      </c>
      <c r="S23" s="33" t="s">
        <v>264</v>
      </c>
      <c r="AA23" s="63">
        <f>SUM(Y17:Y21)</f>
        <v>6380000</v>
      </c>
    </row>
    <row r="25" spans="2:27">
      <c r="B25" s="33" t="s">
        <v>211</v>
      </c>
      <c r="P25" s="33" t="s">
        <v>280</v>
      </c>
    </row>
    <row r="26" spans="2:27">
      <c r="C26" s="33" t="s">
        <v>212</v>
      </c>
      <c r="G26" s="63"/>
      <c r="Q26" s="33" t="s">
        <v>281</v>
      </c>
      <c r="AA26" s="63">
        <v>0</v>
      </c>
    </row>
    <row r="27" spans="2:27">
      <c r="C27" s="33" t="s">
        <v>213</v>
      </c>
      <c r="G27" s="63">
        <v>75000</v>
      </c>
    </row>
    <row r="28" spans="2:27">
      <c r="C28" s="35"/>
      <c r="G28" s="65"/>
      <c r="R28" s="33" t="s">
        <v>282</v>
      </c>
      <c r="AA28" s="63">
        <f>SUM(AA13:AA26)</f>
        <v>8796317</v>
      </c>
    </row>
    <row r="29" spans="2:27">
      <c r="C29" s="36"/>
      <c r="G29" s="65"/>
    </row>
    <row r="31" spans="2:27">
      <c r="B31" s="33" t="s">
        <v>214</v>
      </c>
      <c r="I31" s="63">
        <v>-394065</v>
      </c>
      <c r="O31" s="33" t="s">
        <v>265</v>
      </c>
    </row>
    <row r="32" spans="2:27">
      <c r="P32" s="33" t="s">
        <v>249</v>
      </c>
    </row>
    <row r="33" spans="2:27">
      <c r="C33" s="33" t="s">
        <v>215</v>
      </c>
      <c r="I33" s="63">
        <v>-157626</v>
      </c>
      <c r="Q33" s="33" t="s">
        <v>266</v>
      </c>
      <c r="Y33" s="63">
        <v>240716</v>
      </c>
    </row>
    <row r="34" spans="2:27">
      <c r="Q34" s="33" t="s">
        <v>267</v>
      </c>
      <c r="Y34" s="65">
        <v>3000000</v>
      </c>
    </row>
    <row r="35" spans="2:27">
      <c r="Q35" s="33" t="s">
        <v>268</v>
      </c>
      <c r="Y35" s="65"/>
    </row>
    <row r="36" spans="2:27">
      <c r="S36" s="33" t="s">
        <v>269</v>
      </c>
      <c r="AA36" s="63">
        <v>3240716</v>
      </c>
    </row>
    <row r="37" spans="2:27" ht="15.75">
      <c r="B37" s="40" t="s">
        <v>216</v>
      </c>
    </row>
    <row r="38" spans="2:27">
      <c r="P38" s="33" t="s">
        <v>270</v>
      </c>
    </row>
    <row r="39" spans="2:27">
      <c r="Q39" s="33" t="s">
        <v>271</v>
      </c>
      <c r="AA39" s="63">
        <v>0</v>
      </c>
    </row>
    <row r="41" spans="2:27">
      <c r="Q41" s="33" t="s">
        <v>272</v>
      </c>
      <c r="AA41" s="63">
        <v>3240716</v>
      </c>
    </row>
    <row r="43" spans="2:27" ht="15" customHeight="1">
      <c r="B43" s="402" t="s">
        <v>246</v>
      </c>
      <c r="C43" s="402"/>
      <c r="D43" s="402"/>
      <c r="E43" s="402"/>
      <c r="F43" s="402"/>
      <c r="G43" s="402"/>
      <c r="H43" s="402"/>
      <c r="I43" s="402"/>
      <c r="O43" s="33" t="s">
        <v>273</v>
      </c>
    </row>
    <row r="44" spans="2:27" ht="15" customHeight="1">
      <c r="B44" s="402"/>
      <c r="C44" s="402"/>
      <c r="D44" s="402"/>
      <c r="E44" s="402"/>
      <c r="F44" s="402"/>
      <c r="G44" s="402"/>
      <c r="H44" s="402"/>
      <c r="I44" s="402"/>
      <c r="P44" s="33" t="s">
        <v>274</v>
      </c>
      <c r="Y44" s="63">
        <v>6000000</v>
      </c>
    </row>
    <row r="45" spans="2:27">
      <c r="B45" s="338" t="s">
        <v>597</v>
      </c>
      <c r="P45" s="33" t="s">
        <v>275</v>
      </c>
      <c r="Y45" s="65">
        <v>1000000</v>
      </c>
    </row>
    <row r="46" spans="2:27">
      <c r="B46" s="33" t="s">
        <v>217</v>
      </c>
      <c r="I46" s="63">
        <v>0</v>
      </c>
      <c r="P46" s="33" t="s">
        <v>276</v>
      </c>
      <c r="U46" s="164">
        <v>-1050334</v>
      </c>
      <c r="Y46" s="65">
        <v>-1444399</v>
      </c>
    </row>
    <row r="47" spans="2:27">
      <c r="Q47" s="33" t="s">
        <v>277</v>
      </c>
      <c r="U47" s="163">
        <v>-394065</v>
      </c>
      <c r="AA47" s="63">
        <v>5555601</v>
      </c>
    </row>
    <row r="48" spans="2:27">
      <c r="B48" s="33" t="s">
        <v>218</v>
      </c>
    </row>
    <row r="49" spans="2:27">
      <c r="C49" s="33" t="s">
        <v>219</v>
      </c>
      <c r="G49" s="63">
        <v>15000000</v>
      </c>
      <c r="Q49" s="33" t="s">
        <v>278</v>
      </c>
      <c r="AA49" s="63"/>
    </row>
    <row r="50" spans="2:27">
      <c r="C50" s="33" t="s">
        <v>220</v>
      </c>
      <c r="G50" s="65"/>
      <c r="R50" s="33" t="s">
        <v>279</v>
      </c>
      <c r="AA50" s="63">
        <f>SUM(AA41:AA47)</f>
        <v>8796317</v>
      </c>
    </row>
    <row r="51" spans="2:27">
      <c r="C51" s="33" t="s">
        <v>221</v>
      </c>
      <c r="G51" s="65"/>
    </row>
    <row r="52" spans="2:27">
      <c r="C52" s="33" t="s">
        <v>222</v>
      </c>
      <c r="G52" s="65"/>
      <c r="I52" s="63"/>
    </row>
    <row r="53" spans="2:27">
      <c r="I53" s="63">
        <v>15000000</v>
      </c>
    </row>
    <row r="54" spans="2:27">
      <c r="B54" s="33" t="s">
        <v>223</v>
      </c>
    </row>
    <row r="55" spans="2:27">
      <c r="C55" s="33" t="s">
        <v>224</v>
      </c>
      <c r="G55" s="63">
        <v>7576625</v>
      </c>
    </row>
    <row r="56" spans="2:27">
      <c r="C56" s="33" t="s">
        <v>225</v>
      </c>
      <c r="G56" s="65">
        <v>791000</v>
      </c>
    </row>
    <row r="57" spans="2:27">
      <c r="C57" s="33" t="s">
        <v>226</v>
      </c>
      <c r="G57" s="65">
        <v>2873800</v>
      </c>
    </row>
    <row r="58" spans="2:27">
      <c r="C58" s="33" t="s">
        <v>227</v>
      </c>
      <c r="G58" s="337">
        <v>1742382</v>
      </c>
    </row>
    <row r="59" spans="2:27">
      <c r="C59" s="33" t="s">
        <v>228</v>
      </c>
      <c r="G59" s="65">
        <v>42300</v>
      </c>
      <c r="I59" s="62" t="s">
        <v>599</v>
      </c>
    </row>
    <row r="60" spans="2:27">
      <c r="C60" s="33" t="s">
        <v>229</v>
      </c>
      <c r="G60" s="337">
        <v>1363750</v>
      </c>
      <c r="I60" s="62" t="s">
        <v>596</v>
      </c>
    </row>
    <row r="61" spans="2:27">
      <c r="C61" s="33" t="s">
        <v>230</v>
      </c>
      <c r="G61" s="65"/>
    </row>
    <row r="62" spans="2:27">
      <c r="C62" s="33" t="s">
        <v>231</v>
      </c>
      <c r="G62" s="65"/>
    </row>
    <row r="63" spans="2:27">
      <c r="C63" s="33" t="s">
        <v>213</v>
      </c>
      <c r="G63" s="65">
        <v>75000</v>
      </c>
    </row>
    <row r="64" spans="2:27">
      <c r="C64" s="33" t="s">
        <v>232</v>
      </c>
      <c r="G64" s="65"/>
    </row>
    <row r="65" spans="2:9">
      <c r="C65" s="33" t="s">
        <v>215</v>
      </c>
      <c r="G65" s="65"/>
    </row>
    <row r="66" spans="2:9">
      <c r="C66" s="33" t="s">
        <v>233</v>
      </c>
      <c r="G66" s="65"/>
    </row>
    <row r="67" spans="2:9">
      <c r="C67" s="33" t="s">
        <v>234</v>
      </c>
      <c r="G67" s="65"/>
    </row>
    <row r="68" spans="2:9">
      <c r="C68" s="33" t="s">
        <v>235</v>
      </c>
      <c r="G68" s="65"/>
    </row>
    <row r="69" spans="2:9">
      <c r="C69" s="33" t="s">
        <v>242</v>
      </c>
      <c r="G69" s="65"/>
      <c r="I69" s="63">
        <f>SUM(G55:G63)</f>
        <v>14464857</v>
      </c>
    </row>
    <row r="71" spans="2:9">
      <c r="B71" s="33" t="s">
        <v>236</v>
      </c>
      <c r="I71" s="63">
        <f>I53-I69</f>
        <v>535143</v>
      </c>
    </row>
    <row r="73" spans="2:9">
      <c r="C73" s="33" t="s">
        <v>237</v>
      </c>
      <c r="G73" s="63"/>
    </row>
    <row r="74" spans="2:9">
      <c r="C74" s="33" t="s">
        <v>238</v>
      </c>
      <c r="G74" s="65"/>
    </row>
    <row r="75" spans="2:9">
      <c r="C75" s="33" t="s">
        <v>239</v>
      </c>
      <c r="G75" s="65"/>
    </row>
    <row r="76" spans="2:9">
      <c r="C76" s="33" t="s">
        <v>240</v>
      </c>
      <c r="G76" s="65"/>
      <c r="I76" s="63"/>
    </row>
    <row r="78" spans="2:9">
      <c r="B78" s="33" t="s">
        <v>241</v>
      </c>
      <c r="I78" s="63">
        <f>I53-I69</f>
        <v>535143</v>
      </c>
    </row>
    <row r="81" spans="2:9" ht="15.75">
      <c r="B81" s="156" t="s">
        <v>243</v>
      </c>
      <c r="C81" s="156"/>
      <c r="D81" s="157">
        <v>1047500</v>
      </c>
      <c r="G81" s="156" t="s">
        <v>245</v>
      </c>
      <c r="H81" s="159"/>
      <c r="I81" s="159">
        <v>596143</v>
      </c>
    </row>
    <row r="82" spans="2:9" ht="15.75">
      <c r="B82" s="156"/>
      <c r="C82" s="156"/>
      <c r="D82" s="158">
        <v>316250</v>
      </c>
      <c r="F82" s="156"/>
      <c r="G82" s="159"/>
      <c r="H82" s="159"/>
      <c r="I82" s="160">
        <v>-240716</v>
      </c>
    </row>
    <row r="83" spans="2:9" ht="15.75">
      <c r="B83" s="156"/>
      <c r="C83" s="156"/>
      <c r="D83" s="157">
        <f>SUM(D81:D82)</f>
        <v>1363750</v>
      </c>
      <c r="F83" s="156"/>
      <c r="G83" s="159"/>
      <c r="H83" s="159"/>
      <c r="I83" s="159">
        <f>SUM(I81:I82)</f>
        <v>355427</v>
      </c>
    </row>
    <row r="84" spans="2:9" ht="15.75">
      <c r="F84" s="156"/>
      <c r="G84" s="159"/>
      <c r="H84" s="159"/>
      <c r="I84" s="159"/>
    </row>
    <row r="85" spans="2:9" ht="15.75">
      <c r="G85" s="156" t="s">
        <v>244</v>
      </c>
      <c r="H85" s="159"/>
      <c r="I85" s="159">
        <v>144573</v>
      </c>
    </row>
  </sheetData>
  <mergeCells count="1">
    <mergeCell ref="B43:I44"/>
  </mergeCells>
  <pageMargins left="0.7" right="0.7" top="0.75" bottom="0.75" header="0.3" footer="0.3"/>
  <pageSetup scale="96" orientation="portrait" r:id="rId1"/>
  <legacyDrawing r:id="rId2"/>
  <oleObjects>
    <oleObject progId="Equation.3" shapeId="4098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BE60"/>
  <sheetViews>
    <sheetView zoomScale="71" zoomScaleNormal="71" workbookViewId="0">
      <selection activeCell="N48" sqref="N48"/>
    </sheetView>
  </sheetViews>
  <sheetFormatPr defaultRowHeight="12.75"/>
  <cols>
    <col min="1" max="1" width="9.140625" style="33"/>
    <col min="2" max="2" width="2.5703125" style="33" customWidth="1"/>
    <col min="3" max="3" width="3.5703125" style="33" customWidth="1"/>
    <col min="4" max="6" width="9.140625" style="33"/>
    <col min="7" max="7" width="9.85546875" style="33" bestFit="1" customWidth="1"/>
    <col min="8" max="8" width="9.140625" style="33"/>
    <col min="9" max="9" width="3" style="33" customWidth="1"/>
    <col min="10" max="10" width="19.28515625" style="33" bestFit="1" customWidth="1"/>
    <col min="11" max="11" width="3.140625" style="33" customWidth="1"/>
    <col min="12" max="12" width="2.5703125" style="33" customWidth="1"/>
    <col min="13" max="13" width="16" style="167" customWidth="1"/>
    <col min="14" max="15" width="9.140625" style="33"/>
    <col min="16" max="17" width="3.140625" style="33" customWidth="1"/>
    <col min="18" max="19" width="9.140625" style="33"/>
    <col min="20" max="20" width="9.85546875" style="33" bestFit="1" customWidth="1"/>
    <col min="21" max="21" width="17.85546875" style="33" bestFit="1" customWidth="1"/>
    <col min="22" max="23" width="13.85546875" style="33" bestFit="1" customWidth="1"/>
    <col min="24" max="24" width="15.28515625" style="33" customWidth="1"/>
    <col min="25" max="26" width="13.85546875" style="33" bestFit="1" customWidth="1"/>
    <col min="27" max="32" width="9.140625" style="33"/>
    <col min="33" max="33" width="10.5703125" style="33" customWidth="1"/>
    <col min="34" max="34" width="14.5703125" style="33" customWidth="1"/>
    <col min="35" max="35" width="18.28515625" style="8" bestFit="1" customWidth="1"/>
    <col min="36" max="44" width="9.140625" style="33"/>
    <col min="45" max="45" width="4.140625" style="33" customWidth="1"/>
    <col min="46" max="46" width="9.140625" style="33"/>
    <col min="47" max="47" width="18.5703125" style="33" customWidth="1"/>
    <col min="48" max="48" width="14.28515625" style="33" bestFit="1" customWidth="1"/>
    <col min="49" max="50" width="15.5703125" style="33" bestFit="1" customWidth="1"/>
    <col min="51" max="51" width="13.85546875" style="33" bestFit="1" customWidth="1"/>
    <col min="52" max="52" width="15" style="33" bestFit="1" customWidth="1"/>
    <col min="53" max="53" width="17.42578125" style="33" bestFit="1" customWidth="1"/>
    <col min="54" max="54" width="15.140625" style="33" bestFit="1" customWidth="1"/>
    <col min="55" max="16384" width="9.140625" style="33"/>
  </cols>
  <sheetData>
    <row r="1" spans="2:57" ht="15.75">
      <c r="AF1" s="40" t="s">
        <v>331</v>
      </c>
      <c r="AG1" s="40"/>
      <c r="AH1" s="40"/>
      <c r="AI1" s="86"/>
      <c r="AJ1" s="40"/>
      <c r="AK1" s="40"/>
      <c r="AL1" s="40"/>
    </row>
    <row r="2" spans="2:57" ht="15.75">
      <c r="AF2" s="40"/>
      <c r="AG2" s="40"/>
      <c r="AH2" s="40"/>
      <c r="AI2" s="86"/>
      <c r="AJ2" s="40"/>
      <c r="AK2" s="40"/>
      <c r="AL2" s="40"/>
      <c r="AR2" s="391" t="s">
        <v>283</v>
      </c>
      <c r="AS2" s="391"/>
      <c r="AT2" s="391"/>
      <c r="AU2" s="391"/>
      <c r="AV2" s="391"/>
      <c r="AW2" s="391"/>
      <c r="AX2" s="391"/>
      <c r="BA2" s="33" t="s">
        <v>354</v>
      </c>
    </row>
    <row r="3" spans="2:57" ht="15.75">
      <c r="AF3" s="40"/>
      <c r="AG3" s="40"/>
      <c r="AH3" s="40"/>
      <c r="AI3" s="86"/>
      <c r="AJ3" s="40"/>
      <c r="AK3" s="40"/>
      <c r="AL3" s="40"/>
    </row>
    <row r="4" spans="2:57" ht="15.75">
      <c r="B4" s="391" t="s">
        <v>283</v>
      </c>
      <c r="C4" s="391"/>
      <c r="D4" s="391"/>
      <c r="E4" s="391"/>
      <c r="F4" s="391"/>
      <c r="G4" s="391"/>
      <c r="H4" s="391"/>
      <c r="K4" s="33" t="s">
        <v>311</v>
      </c>
      <c r="P4" s="391" t="s">
        <v>283</v>
      </c>
      <c r="Q4" s="391"/>
      <c r="R4" s="391"/>
      <c r="S4" s="391"/>
      <c r="T4" s="391"/>
      <c r="U4" s="391"/>
      <c r="V4" s="391"/>
      <c r="Y4" s="33" t="s">
        <v>313</v>
      </c>
      <c r="AA4" s="167"/>
      <c r="AF4" s="40"/>
      <c r="AG4" s="202" t="s">
        <v>24</v>
      </c>
      <c r="AH4" s="202"/>
      <c r="AI4" s="203"/>
      <c r="AJ4" s="202"/>
      <c r="AK4" s="202"/>
      <c r="AL4" s="40"/>
      <c r="AR4" s="33" t="s">
        <v>355</v>
      </c>
    </row>
    <row r="5" spans="2:57" ht="15.75">
      <c r="AA5" s="167"/>
      <c r="AF5" s="40"/>
      <c r="AG5" s="202"/>
      <c r="AH5" s="202" t="s">
        <v>336</v>
      </c>
      <c r="AI5" s="203" t="s">
        <v>332</v>
      </c>
      <c r="AJ5" s="202"/>
      <c r="AK5" s="202"/>
      <c r="AL5" s="40"/>
    </row>
    <row r="6" spans="2:57" ht="15.75">
      <c r="B6" s="33" t="s">
        <v>284</v>
      </c>
      <c r="P6" s="33" t="s">
        <v>312</v>
      </c>
      <c r="AA6" s="167"/>
      <c r="AF6" s="40"/>
      <c r="AG6" s="202"/>
      <c r="AH6" s="202"/>
      <c r="AI6" s="204" t="s">
        <v>333</v>
      </c>
      <c r="AJ6" s="202" t="s">
        <v>334</v>
      </c>
      <c r="AK6" s="202"/>
      <c r="AL6" s="40"/>
      <c r="AV6" s="403" t="s">
        <v>326</v>
      </c>
      <c r="AW6" s="403"/>
      <c r="AX6" s="403"/>
      <c r="AY6" s="403"/>
      <c r="AZ6" s="403"/>
      <c r="BA6" s="403"/>
      <c r="BB6" s="403"/>
    </row>
    <row r="7" spans="2:57" ht="16.5" thickBot="1">
      <c r="AF7" s="40"/>
      <c r="AG7" s="202" t="s">
        <v>37</v>
      </c>
      <c r="AH7" s="202"/>
      <c r="AI7" s="203" t="s">
        <v>335</v>
      </c>
      <c r="AJ7" s="202"/>
      <c r="AK7" s="202"/>
      <c r="AL7" s="40"/>
      <c r="AR7" s="174"/>
      <c r="AS7" s="174"/>
      <c r="AT7" s="174"/>
      <c r="AU7" s="174"/>
      <c r="AV7" s="175" t="s">
        <v>8</v>
      </c>
      <c r="AW7" s="176">
        <v>4000</v>
      </c>
      <c r="AX7" s="176">
        <v>6000</v>
      </c>
      <c r="AY7" s="176">
        <v>8000</v>
      </c>
      <c r="AZ7" s="176">
        <v>10000</v>
      </c>
      <c r="BA7" s="176">
        <v>12000</v>
      </c>
      <c r="BB7" s="176">
        <v>14000</v>
      </c>
    </row>
    <row r="8" spans="2:57" ht="19.5" thickTop="1">
      <c r="B8" s="33" t="s">
        <v>285</v>
      </c>
      <c r="G8" s="26">
        <v>50000</v>
      </c>
      <c r="T8" s="403" t="s">
        <v>326</v>
      </c>
      <c r="U8" s="403"/>
      <c r="V8" s="403"/>
      <c r="W8" s="403"/>
      <c r="X8" s="403"/>
      <c r="Y8" s="403"/>
      <c r="Z8" s="403"/>
      <c r="AF8" s="40"/>
      <c r="AG8" s="202"/>
      <c r="AH8" s="202" t="s">
        <v>337</v>
      </c>
      <c r="AI8" s="204" t="s">
        <v>338</v>
      </c>
      <c r="AJ8" s="202"/>
      <c r="AK8" s="202"/>
      <c r="AL8" s="40"/>
      <c r="AR8" s="208" t="s">
        <v>357</v>
      </c>
      <c r="AS8" s="208"/>
      <c r="AT8" s="208"/>
      <c r="AU8" s="208"/>
      <c r="AV8" s="230"/>
      <c r="AW8" s="209"/>
      <c r="AX8" s="209"/>
      <c r="AY8" s="210"/>
      <c r="AZ8" s="210"/>
      <c r="BA8" s="210"/>
      <c r="BB8" s="210"/>
    </row>
    <row r="9" spans="2:57" ht="19.5" thickBot="1">
      <c r="B9" s="33" t="s">
        <v>286</v>
      </c>
      <c r="G9" s="68">
        <v>60000</v>
      </c>
      <c r="P9" s="174"/>
      <c r="Q9" s="174"/>
      <c r="R9" s="174"/>
      <c r="S9" s="174"/>
      <c r="T9" s="175" t="s">
        <v>8</v>
      </c>
      <c r="U9" s="176">
        <v>4000</v>
      </c>
      <c r="V9" s="176">
        <v>6000</v>
      </c>
      <c r="W9" s="176">
        <v>8000</v>
      </c>
      <c r="X9" s="176">
        <v>10000</v>
      </c>
      <c r="Y9" s="176">
        <v>12000</v>
      </c>
      <c r="Z9" s="176">
        <v>14000</v>
      </c>
      <c r="AF9" s="40"/>
      <c r="AG9" s="202"/>
      <c r="AH9" s="202"/>
      <c r="AI9" s="203" t="s">
        <v>339</v>
      </c>
      <c r="AJ9" s="202"/>
      <c r="AK9" s="202"/>
      <c r="AL9" s="40"/>
      <c r="AR9" s="208"/>
      <c r="AS9" s="208" t="s">
        <v>288</v>
      </c>
      <c r="AT9" s="208"/>
      <c r="AU9" s="208"/>
      <c r="AV9" s="235">
        <v>120.82</v>
      </c>
      <c r="AW9" s="236"/>
      <c r="AX9" s="236">
        <v>724920</v>
      </c>
      <c r="AY9" s="236"/>
      <c r="AZ9" s="236">
        <v>1208200</v>
      </c>
      <c r="BA9" s="236"/>
      <c r="BB9" s="236">
        <v>1691480</v>
      </c>
      <c r="BE9" s="33">
        <v>964740</v>
      </c>
    </row>
    <row r="10" spans="2:57" ht="19.5" thickTop="1">
      <c r="P10" s="33" t="s">
        <v>314</v>
      </c>
      <c r="T10" s="177"/>
      <c r="U10" s="184"/>
      <c r="V10" s="184"/>
      <c r="W10" s="193"/>
      <c r="X10" s="193"/>
      <c r="Y10" s="193"/>
      <c r="Z10" s="193"/>
      <c r="AF10" s="40"/>
      <c r="AG10" s="202"/>
      <c r="AH10" s="202" t="s">
        <v>340</v>
      </c>
      <c r="AI10" s="204" t="s">
        <v>341</v>
      </c>
      <c r="AJ10" s="202"/>
      <c r="AK10" s="202"/>
      <c r="AL10" s="40"/>
      <c r="AR10" s="208"/>
      <c r="AS10" s="208" t="s">
        <v>356</v>
      </c>
      <c r="AT10" s="208"/>
      <c r="AU10" s="208"/>
      <c r="AV10" s="211">
        <v>30</v>
      </c>
      <c r="AW10" s="209"/>
      <c r="AX10" s="209"/>
      <c r="AY10" s="209"/>
      <c r="AZ10" s="209"/>
      <c r="BA10" s="209"/>
      <c r="BB10" s="209"/>
      <c r="BE10" s="33">
        <v>5843125</v>
      </c>
    </row>
    <row r="11" spans="2:57" ht="19.5" customHeight="1">
      <c r="J11" s="409" t="s">
        <v>303</v>
      </c>
      <c r="M11" s="410" t="s">
        <v>304</v>
      </c>
      <c r="N11" s="165"/>
      <c r="Q11" s="33" t="s">
        <v>24</v>
      </c>
      <c r="T11" s="180">
        <v>42</v>
      </c>
      <c r="U11" s="184">
        <v>168000</v>
      </c>
      <c r="V11" s="184"/>
      <c r="W11" s="184"/>
      <c r="X11" s="184"/>
      <c r="Y11" s="184"/>
      <c r="Z11" s="184"/>
      <c r="AF11" s="40"/>
      <c r="AG11" s="202"/>
      <c r="AH11" s="202"/>
      <c r="AI11" s="203" t="s">
        <v>342</v>
      </c>
      <c r="AJ11" s="202"/>
      <c r="AK11" s="202"/>
      <c r="AL11" s="40"/>
      <c r="AR11" s="208"/>
      <c r="AS11" s="208" t="s">
        <v>9</v>
      </c>
      <c r="AT11" s="208"/>
      <c r="AU11" s="208"/>
      <c r="AV11" s="211">
        <v>1.5</v>
      </c>
      <c r="AW11" s="209"/>
      <c r="AX11" s="209"/>
      <c r="AY11" s="209"/>
      <c r="AZ11" s="209"/>
      <c r="BA11" s="209"/>
      <c r="BB11" s="209"/>
    </row>
    <row r="12" spans="2:57" ht="18.75">
      <c r="B12" s="33" t="s">
        <v>287</v>
      </c>
      <c r="J12" s="409"/>
      <c r="M12" s="410"/>
      <c r="N12" s="165"/>
      <c r="P12" s="35"/>
      <c r="Q12" s="35" t="s">
        <v>37</v>
      </c>
      <c r="R12" s="35"/>
      <c r="S12" s="35"/>
      <c r="T12" s="181">
        <v>28</v>
      </c>
      <c r="U12" s="185">
        <v>112000</v>
      </c>
      <c r="V12" s="185"/>
      <c r="W12" s="185"/>
      <c r="X12" s="185"/>
      <c r="Y12" s="185"/>
      <c r="Z12" s="185"/>
      <c r="AF12" s="40"/>
      <c r="AG12" s="202"/>
      <c r="AH12" s="202"/>
      <c r="AI12" s="204" t="s">
        <v>343</v>
      </c>
      <c r="AJ12" s="202"/>
      <c r="AK12" s="202"/>
      <c r="AL12" s="40"/>
      <c r="AR12" s="208"/>
      <c r="AS12" s="208" t="s">
        <v>290</v>
      </c>
      <c r="AT12" s="208"/>
      <c r="AU12" s="208"/>
      <c r="AV12" s="211">
        <v>3.25</v>
      </c>
      <c r="AW12" s="209"/>
      <c r="AX12" s="209"/>
      <c r="AY12" s="209"/>
      <c r="AZ12" s="209"/>
      <c r="BA12" s="209"/>
      <c r="BB12" s="209"/>
      <c r="BE12" s="33">
        <f>SUM(BE9:BE10)</f>
        <v>6807865</v>
      </c>
    </row>
    <row r="13" spans="2:57" ht="18.75">
      <c r="J13" s="25"/>
      <c r="M13" s="25"/>
      <c r="P13" s="33" t="s">
        <v>297</v>
      </c>
      <c r="T13" s="182"/>
      <c r="U13" s="186"/>
      <c r="V13" s="186"/>
      <c r="W13" s="184"/>
      <c r="X13" s="184"/>
      <c r="Y13" s="184"/>
      <c r="Z13" s="184"/>
      <c r="AF13" s="40"/>
      <c r="AG13" s="202"/>
      <c r="AH13" s="202"/>
      <c r="AI13" s="203" t="s">
        <v>344</v>
      </c>
      <c r="AJ13" s="202"/>
      <c r="AK13" s="202"/>
      <c r="AL13" s="40"/>
      <c r="AR13" s="208"/>
      <c r="AS13" s="208" t="s">
        <v>11</v>
      </c>
      <c r="AT13" s="208"/>
      <c r="AU13" s="208"/>
      <c r="AV13" s="211">
        <v>0</v>
      </c>
      <c r="AW13" s="209"/>
      <c r="AX13" s="209"/>
      <c r="AY13" s="209"/>
      <c r="AZ13" s="209"/>
      <c r="BA13" s="209"/>
      <c r="BB13" s="209"/>
    </row>
    <row r="14" spans="2:57" ht="18.75">
      <c r="C14" s="33" t="s">
        <v>288</v>
      </c>
      <c r="G14" s="33">
        <f>J14/50000</f>
        <v>120.82</v>
      </c>
      <c r="I14" s="33" t="s">
        <v>48</v>
      </c>
      <c r="J14" s="26">
        <v>6041000</v>
      </c>
      <c r="L14" s="33" t="s">
        <v>48</v>
      </c>
      <c r="M14" s="27">
        <v>120.82</v>
      </c>
      <c r="Q14" s="33" t="s">
        <v>315</v>
      </c>
      <c r="T14" s="180">
        <v>22.16</v>
      </c>
      <c r="U14" s="184">
        <v>88600</v>
      </c>
      <c r="V14" s="184"/>
      <c r="W14" s="184"/>
      <c r="X14" s="184"/>
      <c r="Y14" s="184"/>
      <c r="Z14" s="184"/>
      <c r="AF14" s="40"/>
      <c r="AG14" s="202"/>
      <c r="AH14" s="202"/>
      <c r="AI14" s="204" t="s">
        <v>345</v>
      </c>
      <c r="AJ14" s="202" t="s">
        <v>346</v>
      </c>
      <c r="AK14" s="202"/>
      <c r="AL14" s="40"/>
      <c r="AR14" s="215"/>
      <c r="AS14" s="212" t="s">
        <v>12</v>
      </c>
      <c r="AT14" s="212"/>
      <c r="AU14" s="212"/>
      <c r="AV14" s="213">
        <v>0</v>
      </c>
      <c r="AW14" s="214"/>
      <c r="AX14" s="214"/>
      <c r="AY14" s="214"/>
      <c r="AZ14" s="214"/>
      <c r="BA14" s="214"/>
      <c r="BB14" s="214"/>
    </row>
    <row r="15" spans="2:57" ht="18.75">
      <c r="C15" s="33" t="s">
        <v>289</v>
      </c>
      <c r="I15" s="33" t="s">
        <v>48</v>
      </c>
      <c r="J15" s="68">
        <v>1500000</v>
      </c>
      <c r="L15" s="33" t="s">
        <v>48</v>
      </c>
      <c r="M15" s="172">
        <v>30</v>
      </c>
      <c r="P15" s="35"/>
      <c r="Q15" s="35" t="s">
        <v>316</v>
      </c>
      <c r="R15" s="35"/>
      <c r="S15" s="35"/>
      <c r="T15" s="181">
        <v>22.16</v>
      </c>
      <c r="U15" s="185">
        <v>88600</v>
      </c>
      <c r="V15" s="185"/>
      <c r="W15" s="185"/>
      <c r="X15" s="185"/>
      <c r="Y15" s="185"/>
      <c r="Z15" s="185"/>
      <c r="AF15" s="40"/>
      <c r="AG15" s="40" t="s">
        <v>348</v>
      </c>
      <c r="AH15" s="202"/>
      <c r="AI15" s="406" t="s">
        <v>347</v>
      </c>
      <c r="AJ15" s="406"/>
      <c r="AK15" s="202"/>
      <c r="AL15" s="40"/>
      <c r="AR15" s="215"/>
      <c r="AS15" s="215"/>
      <c r="AT15" s="215" t="s">
        <v>358</v>
      </c>
      <c r="AU15" s="215"/>
      <c r="AV15" s="239">
        <f>SUM(AV10:AV14)</f>
        <v>34.75</v>
      </c>
      <c r="AW15" s="240"/>
      <c r="AX15" s="240">
        <f>AV15*AX7</f>
        <v>208500</v>
      </c>
      <c r="AY15" s="236"/>
      <c r="AZ15" s="236">
        <f>AV15*AZ7</f>
        <v>347500</v>
      </c>
      <c r="BA15" s="236"/>
      <c r="BB15" s="236">
        <f>AV15*BB7</f>
        <v>486500</v>
      </c>
      <c r="BE15" s="33">
        <v>567500</v>
      </c>
    </row>
    <row r="16" spans="2:57" ht="19.5" thickBot="1">
      <c r="C16" s="33" t="s">
        <v>9</v>
      </c>
      <c r="I16" s="33" t="s">
        <v>48</v>
      </c>
      <c r="J16" s="68">
        <v>75000</v>
      </c>
      <c r="L16" s="33" t="s">
        <v>48</v>
      </c>
      <c r="M16" s="172">
        <v>1.5</v>
      </c>
      <c r="P16" s="33" t="s">
        <v>28</v>
      </c>
      <c r="T16" s="182"/>
      <c r="U16" s="186"/>
      <c r="V16" s="184"/>
      <c r="W16" s="184"/>
      <c r="X16" s="184"/>
      <c r="Y16" s="184"/>
      <c r="Z16" s="184"/>
      <c r="AF16" s="205"/>
      <c r="AG16" s="206"/>
      <c r="AH16" s="206"/>
      <c r="AI16" s="207"/>
      <c r="AJ16" s="206"/>
      <c r="AK16" s="206"/>
      <c r="AL16" s="205"/>
      <c r="AR16" s="215"/>
      <c r="AS16" s="208" t="s">
        <v>359</v>
      </c>
      <c r="AT16" s="208"/>
      <c r="AU16" s="208"/>
      <c r="AV16" s="216"/>
      <c r="AW16" s="217"/>
      <c r="AX16" s="217"/>
      <c r="AY16" s="209"/>
      <c r="AZ16" s="209"/>
      <c r="BA16" s="209"/>
      <c r="BB16" s="209"/>
      <c r="BE16" s="33">
        <f>BE15+BE12</f>
        <v>7375365</v>
      </c>
    </row>
    <row r="17" spans="2:54" ht="19.5" thickTop="1">
      <c r="C17" s="33" t="s">
        <v>290</v>
      </c>
      <c r="I17" s="33" t="s">
        <v>48</v>
      </c>
      <c r="J17" s="68">
        <v>162500</v>
      </c>
      <c r="L17" s="33" t="s">
        <v>48</v>
      </c>
      <c r="M17" s="172">
        <v>3.25</v>
      </c>
      <c r="O17" s="178"/>
      <c r="Q17" s="33" t="s">
        <v>29</v>
      </c>
      <c r="T17" s="180">
        <v>0.5</v>
      </c>
      <c r="U17" s="184">
        <v>2000</v>
      </c>
      <c r="V17" s="184"/>
      <c r="W17" s="184"/>
      <c r="X17" s="184"/>
      <c r="Y17" s="184"/>
      <c r="Z17" s="184"/>
      <c r="AF17" s="40"/>
      <c r="AG17" s="202"/>
      <c r="AH17" s="202"/>
      <c r="AI17" s="203"/>
      <c r="AJ17" s="202"/>
      <c r="AK17" s="202"/>
      <c r="AL17" s="40"/>
      <c r="AR17" s="215"/>
      <c r="AS17" s="208" t="s">
        <v>16</v>
      </c>
      <c r="AT17" s="208"/>
      <c r="AU17" s="208"/>
      <c r="AV17" s="211">
        <v>1.32</v>
      </c>
      <c r="AW17" s="209"/>
      <c r="AX17" s="209"/>
      <c r="AY17" s="209"/>
      <c r="AZ17" s="209"/>
      <c r="BA17" s="209"/>
      <c r="BB17" s="209"/>
    </row>
    <row r="18" spans="2:54" ht="18.75" customHeight="1">
      <c r="C18" s="33" t="s">
        <v>11</v>
      </c>
      <c r="I18" s="33" t="s">
        <v>48</v>
      </c>
      <c r="J18" s="68">
        <v>0</v>
      </c>
      <c r="L18" s="33" t="s">
        <v>48</v>
      </c>
      <c r="M18" s="172">
        <v>0</v>
      </c>
      <c r="Q18" s="33" t="s">
        <v>30</v>
      </c>
      <c r="T18" s="180">
        <v>2.5</v>
      </c>
      <c r="U18" s="184">
        <v>10000</v>
      </c>
      <c r="V18" s="184"/>
      <c r="W18" s="184"/>
      <c r="X18" s="184"/>
      <c r="Y18" s="184"/>
      <c r="Z18" s="184"/>
      <c r="AF18" s="407" t="s">
        <v>349</v>
      </c>
      <c r="AG18" s="407"/>
      <c r="AH18" s="407"/>
      <c r="AI18" s="407"/>
      <c r="AJ18" s="407"/>
      <c r="AK18" s="407"/>
      <c r="AL18" s="407"/>
      <c r="AM18" s="201"/>
      <c r="AR18" s="215"/>
      <c r="AS18" s="212" t="s">
        <v>17</v>
      </c>
      <c r="AT18" s="212"/>
      <c r="AU18" s="212"/>
      <c r="AV18" s="213">
        <v>3.9</v>
      </c>
      <c r="AW18" s="214"/>
      <c r="AX18" s="214"/>
      <c r="AY18" s="214"/>
      <c r="AZ18" s="214"/>
      <c r="BA18" s="214"/>
      <c r="BB18" s="214"/>
    </row>
    <row r="19" spans="2:54" ht="18.75">
      <c r="C19" s="33" t="s">
        <v>12</v>
      </c>
      <c r="I19" s="33" t="s">
        <v>48</v>
      </c>
      <c r="J19" s="68">
        <v>0</v>
      </c>
      <c r="L19" s="33" t="s">
        <v>48</v>
      </c>
      <c r="M19" s="172">
        <v>0</v>
      </c>
      <c r="Q19" s="33" t="s">
        <v>17</v>
      </c>
      <c r="T19" s="180">
        <v>1</v>
      </c>
      <c r="U19" s="184">
        <v>4000</v>
      </c>
      <c r="V19" s="184"/>
      <c r="W19" s="184"/>
      <c r="X19" s="184"/>
      <c r="Y19" s="184"/>
      <c r="Z19" s="184"/>
      <c r="AF19" s="407"/>
      <c r="AG19" s="407"/>
      <c r="AH19" s="407"/>
      <c r="AI19" s="407"/>
      <c r="AJ19" s="407"/>
      <c r="AK19" s="407"/>
      <c r="AL19" s="407"/>
      <c r="AM19" s="201"/>
      <c r="AR19" s="215"/>
      <c r="AS19" s="215"/>
      <c r="AT19" s="215" t="s">
        <v>360</v>
      </c>
      <c r="AU19" s="215"/>
      <c r="AV19" s="219">
        <v>5.22</v>
      </c>
      <c r="AW19" s="197"/>
      <c r="AX19" s="197">
        <f>AV19*AX7</f>
        <v>31320</v>
      </c>
      <c r="AY19" s="197"/>
      <c r="AZ19" s="197">
        <f>AV19*AZ7</f>
        <v>52200</v>
      </c>
      <c r="BA19" s="197"/>
      <c r="BB19" s="197">
        <f>AV19*BB7</f>
        <v>73080</v>
      </c>
    </row>
    <row r="20" spans="2:54" ht="18.75">
      <c r="D20" s="33" t="s">
        <v>291</v>
      </c>
      <c r="I20" s="33" t="s">
        <v>48</v>
      </c>
      <c r="J20" s="68">
        <f>SUM(J14:J19)</f>
        <v>7778500</v>
      </c>
      <c r="L20" s="33" t="s">
        <v>48</v>
      </c>
      <c r="M20" s="172">
        <f>J20/50000</f>
        <v>155.57</v>
      </c>
      <c r="Q20" s="33" t="s">
        <v>317</v>
      </c>
      <c r="T20" s="181">
        <v>2.5</v>
      </c>
      <c r="U20" s="185">
        <v>10000</v>
      </c>
      <c r="V20" s="185"/>
      <c r="W20" s="24"/>
      <c r="X20" s="185"/>
      <c r="Y20" s="185"/>
      <c r="Z20" s="185"/>
      <c r="AF20" s="407"/>
      <c r="AG20" s="407"/>
      <c r="AH20" s="407"/>
      <c r="AI20" s="407"/>
      <c r="AJ20" s="407"/>
      <c r="AK20" s="407"/>
      <c r="AL20" s="407"/>
      <c r="AM20" s="201"/>
      <c r="AR20" s="215"/>
      <c r="AS20" s="215"/>
      <c r="AT20" s="237" t="s">
        <v>361</v>
      </c>
      <c r="AU20" s="238"/>
      <c r="AV20" s="232">
        <f>SUM(AV9,AV15,AV17:AV18)</f>
        <v>160.79</v>
      </c>
      <c r="AW20" s="231"/>
      <c r="AX20" s="231">
        <f>SUM(AX9,AX15,AX19)</f>
        <v>964740</v>
      </c>
      <c r="AY20" s="231"/>
      <c r="AZ20" s="231">
        <f>SUM(AZ9,AZ15,AZ19)</f>
        <v>1607900</v>
      </c>
      <c r="BA20" s="231"/>
      <c r="BB20" s="231">
        <f>SUM(BB9,BB15,BB19)</f>
        <v>2251060</v>
      </c>
    </row>
    <row r="21" spans="2:54" ht="18.75">
      <c r="J21" s="24"/>
      <c r="M21" s="25"/>
      <c r="P21" s="179"/>
      <c r="Q21" s="405" t="s">
        <v>318</v>
      </c>
      <c r="R21" s="405"/>
      <c r="S21" s="405"/>
      <c r="T21" s="183">
        <f>SUM(T11:T20)</f>
        <v>120.82</v>
      </c>
      <c r="U21" s="187">
        <f>SUM(U11:U20)</f>
        <v>483200</v>
      </c>
      <c r="V21" s="188">
        <v>724920</v>
      </c>
      <c r="W21" s="188">
        <v>966560</v>
      </c>
      <c r="X21" s="188">
        <v>1208200</v>
      </c>
      <c r="Y21" s="188">
        <v>1449840</v>
      </c>
      <c r="Z21" s="188">
        <v>1691480</v>
      </c>
      <c r="AF21" s="40"/>
      <c r="AG21" s="40"/>
      <c r="AH21" s="40"/>
      <c r="AI21" s="86"/>
      <c r="AJ21" s="40"/>
      <c r="AK21" s="40"/>
      <c r="AL21" s="40"/>
      <c r="AR21" s="215"/>
      <c r="AS21" s="215"/>
      <c r="AT21" s="215"/>
      <c r="AU21" s="215"/>
      <c r="AV21" s="195"/>
      <c r="AW21" s="196"/>
      <c r="AX21" s="233"/>
      <c r="AY21" s="233"/>
      <c r="AZ21" s="233"/>
      <c r="BA21" s="233"/>
      <c r="BB21" s="233"/>
    </row>
    <row r="22" spans="2:54" ht="18.75">
      <c r="B22" s="33" t="s">
        <v>292</v>
      </c>
      <c r="J22" s="24"/>
      <c r="M22" s="25"/>
      <c r="P22" s="37" t="s">
        <v>319</v>
      </c>
      <c r="T22" s="25"/>
      <c r="U22" s="186"/>
      <c r="V22" s="186"/>
      <c r="W22" s="186"/>
      <c r="X22" s="186"/>
      <c r="Y22" s="186"/>
      <c r="Z22" s="186"/>
      <c r="AF22" s="40"/>
      <c r="AG22" s="40"/>
      <c r="AH22" s="40"/>
      <c r="AI22" s="86"/>
      <c r="AJ22" s="40"/>
      <c r="AK22" s="40"/>
      <c r="AL22" s="40"/>
      <c r="AR22" s="215" t="s">
        <v>362</v>
      </c>
      <c r="AS22" s="215"/>
      <c r="AT22" s="215"/>
      <c r="AU22" s="215"/>
      <c r="AV22" s="195"/>
      <c r="AW22" s="196"/>
      <c r="AX22" s="196"/>
      <c r="AY22" s="196"/>
      <c r="AZ22" s="196"/>
      <c r="BA22" s="196"/>
      <c r="BB22" s="196"/>
    </row>
    <row r="23" spans="2:54" ht="18.75">
      <c r="C23" s="33" t="s">
        <v>16</v>
      </c>
      <c r="E23" s="169" t="s">
        <v>309</v>
      </c>
      <c r="I23" s="33" t="s">
        <v>48</v>
      </c>
      <c r="J23" s="26">
        <v>195000</v>
      </c>
      <c r="L23" s="33" t="s">
        <v>48</v>
      </c>
      <c r="M23" s="27">
        <v>3.9</v>
      </c>
      <c r="O23" s="167"/>
      <c r="Q23" s="33" t="s">
        <v>320</v>
      </c>
      <c r="T23" s="25"/>
      <c r="U23" s="184">
        <v>500000</v>
      </c>
      <c r="V23" s="184"/>
      <c r="W23" s="184"/>
      <c r="X23" s="184"/>
      <c r="Y23" s="184"/>
      <c r="Z23" s="184"/>
      <c r="AF23" s="40"/>
      <c r="AG23" s="40"/>
      <c r="AH23" s="40"/>
      <c r="AI23" s="86"/>
      <c r="AJ23" s="40"/>
      <c r="AK23" s="40"/>
      <c r="AL23" s="40"/>
      <c r="AR23" s="208"/>
      <c r="AS23" s="208" t="s">
        <v>363</v>
      </c>
      <c r="AT23" s="208"/>
      <c r="AU23" s="208"/>
      <c r="AV23" s="195"/>
      <c r="AW23" s="217">
        <v>4444000</v>
      </c>
      <c r="AX23" s="196"/>
      <c r="AY23" s="196"/>
      <c r="AZ23" s="196"/>
      <c r="BA23" s="196"/>
      <c r="BB23" s="196"/>
    </row>
    <row r="24" spans="2:54" ht="18.75">
      <c r="C24" s="33" t="s">
        <v>17</v>
      </c>
      <c r="I24" s="33" t="s">
        <v>48</v>
      </c>
      <c r="J24" s="68">
        <v>66000</v>
      </c>
      <c r="L24" s="33" t="s">
        <v>48</v>
      </c>
      <c r="M24" s="172">
        <v>1.32</v>
      </c>
      <c r="Q24" s="33" t="s">
        <v>29</v>
      </c>
      <c r="T24" s="25"/>
      <c r="U24" s="184">
        <v>5000</v>
      </c>
      <c r="V24" s="184"/>
      <c r="W24" s="184"/>
      <c r="X24" s="184"/>
      <c r="Y24" s="184"/>
      <c r="Z24" s="184"/>
      <c r="AF24" s="40"/>
      <c r="AG24" s="40"/>
      <c r="AH24" s="40"/>
      <c r="AI24" s="86"/>
      <c r="AJ24" s="40"/>
      <c r="AK24" s="40"/>
      <c r="AL24" s="40"/>
      <c r="AR24" s="208"/>
      <c r="AS24" s="215" t="s">
        <v>364</v>
      </c>
      <c r="AT24" s="215"/>
      <c r="AU24" s="215"/>
      <c r="AV24" s="195"/>
      <c r="AW24" s="209">
        <v>54000</v>
      </c>
      <c r="AX24" s="196"/>
      <c r="AY24" s="196"/>
      <c r="AZ24" s="196"/>
      <c r="BA24" s="196"/>
      <c r="BB24" s="196"/>
    </row>
    <row r="25" spans="2:54" ht="18.75">
      <c r="D25" s="33" t="s">
        <v>293</v>
      </c>
      <c r="I25" s="33" t="s">
        <v>48</v>
      </c>
      <c r="J25" s="68">
        <v>261000</v>
      </c>
      <c r="L25" s="33" t="s">
        <v>48</v>
      </c>
      <c r="M25" s="172">
        <v>5.22</v>
      </c>
      <c r="Q25" s="33" t="s">
        <v>321</v>
      </c>
      <c r="T25" s="25"/>
      <c r="U25" s="184">
        <v>130000</v>
      </c>
      <c r="V25" s="184"/>
      <c r="W25" s="184"/>
      <c r="X25" s="184"/>
      <c r="Y25" s="184"/>
      <c r="Z25" s="184"/>
      <c r="AF25" s="40"/>
      <c r="AG25" s="40"/>
      <c r="AH25" s="40"/>
      <c r="AI25" s="86"/>
      <c r="AJ25" s="40"/>
      <c r="AK25" s="40"/>
      <c r="AL25" s="40"/>
      <c r="AR25" s="208"/>
      <c r="AS25" s="215" t="s">
        <v>57</v>
      </c>
      <c r="AT25" s="215"/>
      <c r="AU25" s="215"/>
      <c r="AV25" s="195"/>
      <c r="AW25" s="209">
        <v>1100000</v>
      </c>
      <c r="AX25" s="196"/>
      <c r="AY25" s="196"/>
      <c r="AZ25" s="196"/>
      <c r="BA25" s="196"/>
      <c r="BB25" s="196"/>
    </row>
    <row r="26" spans="2:54" ht="18.75">
      <c r="J26" s="24"/>
      <c r="M26" s="25"/>
      <c r="Q26" s="33" t="s">
        <v>322</v>
      </c>
      <c r="T26" s="25"/>
      <c r="U26" s="184">
        <v>250000</v>
      </c>
      <c r="V26" s="184"/>
      <c r="W26" s="184"/>
      <c r="X26" s="184"/>
      <c r="Y26" s="184"/>
      <c r="Z26" s="184"/>
      <c r="AF26" s="40"/>
      <c r="AG26" s="40"/>
      <c r="AH26" s="40"/>
      <c r="AI26" s="86"/>
      <c r="AJ26" s="40"/>
      <c r="AK26" s="40"/>
      <c r="AL26" s="40"/>
      <c r="AR26" s="208"/>
      <c r="AS26" s="215" t="s">
        <v>58</v>
      </c>
      <c r="AT26" s="215"/>
      <c r="AU26" s="215"/>
      <c r="AV26" s="195"/>
      <c r="AW26" s="209">
        <v>50000</v>
      </c>
      <c r="AX26" s="196"/>
      <c r="AY26" s="196"/>
      <c r="AZ26" s="196"/>
      <c r="BA26" s="196"/>
      <c r="BB26" s="196"/>
    </row>
    <row r="27" spans="2:54" ht="18.75" customHeight="1">
      <c r="J27" s="24"/>
      <c r="M27" s="25"/>
      <c r="Q27" s="33" t="s">
        <v>69</v>
      </c>
      <c r="T27" s="25"/>
      <c r="U27" s="184">
        <v>10000</v>
      </c>
      <c r="V27" s="184"/>
      <c r="W27" s="184"/>
      <c r="X27" s="184"/>
      <c r="Y27" s="184"/>
      <c r="Z27" s="184"/>
      <c r="AF27" s="40"/>
      <c r="AG27" s="40"/>
      <c r="AH27" s="40"/>
      <c r="AI27" s="86"/>
      <c r="AJ27" s="40"/>
      <c r="AK27" s="40"/>
      <c r="AL27" s="40"/>
      <c r="AR27" s="215"/>
      <c r="AS27" s="404" t="s">
        <v>373</v>
      </c>
      <c r="AT27" s="404"/>
      <c r="AU27" s="404"/>
      <c r="AV27" s="195"/>
      <c r="AW27" s="209">
        <v>120000</v>
      </c>
      <c r="AX27" s="196"/>
      <c r="AY27" s="196"/>
      <c r="AZ27" s="196"/>
      <c r="BA27" s="196"/>
      <c r="BB27" s="196"/>
    </row>
    <row r="28" spans="2:54" ht="18.75">
      <c r="B28" s="33" t="s">
        <v>294</v>
      </c>
      <c r="J28" s="24"/>
      <c r="M28" s="25"/>
      <c r="Q28" s="105" t="s">
        <v>323</v>
      </c>
      <c r="R28" s="105"/>
      <c r="T28" s="25"/>
      <c r="U28" s="184">
        <v>21125</v>
      </c>
      <c r="V28" s="184"/>
      <c r="W28" s="184"/>
      <c r="X28" s="184"/>
      <c r="Y28" s="184"/>
      <c r="Z28" s="184"/>
      <c r="AF28" s="40"/>
      <c r="AG28" s="40"/>
      <c r="AH28" s="40"/>
      <c r="AI28" s="86"/>
      <c r="AJ28" s="40"/>
      <c r="AK28" s="40"/>
      <c r="AL28" s="40"/>
      <c r="AR28" s="215"/>
      <c r="AS28" s="215" t="s">
        <v>12</v>
      </c>
      <c r="AT28" s="194"/>
      <c r="AU28" s="194"/>
      <c r="AV28" s="195"/>
      <c r="AW28" s="209">
        <v>0</v>
      </c>
      <c r="AX28" s="196"/>
      <c r="AY28" s="196"/>
      <c r="AZ28" s="196"/>
      <c r="BA28" s="196"/>
      <c r="BB28" s="196"/>
    </row>
    <row r="29" spans="2:54" ht="18.75">
      <c r="C29" s="33" t="s">
        <v>124</v>
      </c>
      <c r="J29" s="24"/>
      <c r="M29" s="25"/>
      <c r="Q29" s="33" t="s">
        <v>64</v>
      </c>
      <c r="T29" s="25"/>
      <c r="U29" s="184">
        <v>117500</v>
      </c>
      <c r="V29" s="184"/>
      <c r="W29" s="184"/>
      <c r="X29" s="184"/>
      <c r="Y29" s="184"/>
      <c r="Z29" s="184"/>
      <c r="AG29" s="40"/>
      <c r="AH29" s="40"/>
      <c r="AI29" s="86"/>
      <c r="AJ29" s="40"/>
      <c r="AK29" s="40"/>
      <c r="AL29" s="40"/>
      <c r="AR29" s="208"/>
      <c r="AS29" s="220" t="s">
        <v>365</v>
      </c>
      <c r="AT29" s="220"/>
      <c r="AU29" s="194"/>
      <c r="AV29" s="195"/>
      <c r="AW29" s="214">
        <v>75125</v>
      </c>
      <c r="AX29" s="196"/>
      <c r="AY29" s="196"/>
      <c r="AZ29" s="196"/>
      <c r="BA29" s="196"/>
      <c r="BB29" s="196"/>
    </row>
    <row r="30" spans="2:54" ht="18.75">
      <c r="C30" s="33" t="s">
        <v>296</v>
      </c>
      <c r="I30" s="33" t="s">
        <v>48</v>
      </c>
      <c r="J30" s="26">
        <v>40</v>
      </c>
      <c r="M30" s="25"/>
      <c r="Q30" s="33" t="s">
        <v>71</v>
      </c>
      <c r="T30" s="25"/>
      <c r="U30" s="184">
        <v>20000</v>
      </c>
      <c r="V30" s="184"/>
      <c r="W30" s="184"/>
      <c r="X30" s="184"/>
      <c r="Y30" s="184"/>
      <c r="Z30" s="184"/>
      <c r="AG30" s="40"/>
      <c r="AH30" s="40"/>
      <c r="AI30" s="86"/>
      <c r="AJ30" s="40"/>
      <c r="AK30" s="40"/>
      <c r="AL30" s="40"/>
      <c r="AO30" s="37"/>
      <c r="AR30" s="215"/>
      <c r="AS30" s="208"/>
      <c r="AT30" s="234" t="s">
        <v>366</v>
      </c>
      <c r="AU30" s="234"/>
      <c r="AV30" s="232"/>
      <c r="AW30" s="231">
        <f>SUM(AW23:AW29)</f>
        <v>5843125</v>
      </c>
      <c r="AX30" s="231">
        <v>5843125</v>
      </c>
      <c r="AY30" s="231">
        <v>5843125</v>
      </c>
      <c r="AZ30" s="231">
        <v>5843125</v>
      </c>
      <c r="BA30" s="231">
        <v>5843125</v>
      </c>
      <c r="BB30" s="231">
        <v>5843125</v>
      </c>
    </row>
    <row r="31" spans="2:54" ht="18.75">
      <c r="C31" s="33" t="s">
        <v>295</v>
      </c>
      <c r="I31" s="33" t="s">
        <v>48</v>
      </c>
      <c r="J31" s="68">
        <v>2</v>
      </c>
      <c r="L31" s="33" t="s">
        <v>48</v>
      </c>
      <c r="M31" s="27">
        <v>42</v>
      </c>
      <c r="Q31" s="33" t="s">
        <v>324</v>
      </c>
      <c r="T31" s="25"/>
      <c r="U31" s="185">
        <v>0</v>
      </c>
      <c r="V31" s="185"/>
      <c r="W31" s="185"/>
      <c r="X31" s="185"/>
      <c r="Y31" s="185"/>
      <c r="Z31" s="185"/>
      <c r="AG31" s="40"/>
      <c r="AH31" s="40"/>
      <c r="AI31" s="86"/>
      <c r="AJ31" s="40"/>
      <c r="AK31" s="40"/>
      <c r="AL31" s="40"/>
      <c r="AR31" s="215"/>
      <c r="AS31" s="208"/>
      <c r="AT31" s="215"/>
      <c r="AU31" s="215"/>
      <c r="AV31" s="195"/>
      <c r="AW31" s="196"/>
      <c r="AX31" s="196"/>
      <c r="AY31" s="196"/>
      <c r="AZ31" s="196"/>
      <c r="BA31" s="196"/>
      <c r="BB31" s="196"/>
    </row>
    <row r="32" spans="2:54" ht="18.75">
      <c r="C32" s="33" t="s">
        <v>126</v>
      </c>
      <c r="J32" s="24"/>
      <c r="M32" s="25"/>
      <c r="Q32" s="405" t="s">
        <v>325</v>
      </c>
      <c r="R32" s="405"/>
      <c r="S32" s="405"/>
      <c r="T32" s="183"/>
      <c r="U32" s="188">
        <f>SUM(U23:U31)</f>
        <v>1053625</v>
      </c>
      <c r="V32" s="188">
        <v>1053625</v>
      </c>
      <c r="W32" s="188">
        <v>1053625</v>
      </c>
      <c r="X32" s="188">
        <v>1053625</v>
      </c>
      <c r="Y32" s="188">
        <v>1053625</v>
      </c>
      <c r="Z32" s="188">
        <v>1053625</v>
      </c>
      <c r="AG32" s="40"/>
      <c r="AH32" s="40"/>
      <c r="AI32" s="86"/>
      <c r="AJ32" s="40"/>
      <c r="AK32" s="40"/>
      <c r="AL32" s="40"/>
      <c r="AR32" s="208" t="s">
        <v>367</v>
      </c>
      <c r="AS32" s="208"/>
      <c r="AT32" s="208"/>
      <c r="AU32" s="208"/>
      <c r="AV32" s="221"/>
      <c r="AW32" s="196"/>
      <c r="AX32" s="196"/>
      <c r="AY32" s="196"/>
      <c r="AZ32" s="196"/>
      <c r="BA32" s="196"/>
      <c r="BB32" s="196"/>
    </row>
    <row r="33" spans="2:54" ht="18.75">
      <c r="C33" s="33" t="s">
        <v>603</v>
      </c>
      <c r="J33" s="24"/>
      <c r="L33" s="33" t="s">
        <v>48</v>
      </c>
      <c r="M33" s="27">
        <v>28</v>
      </c>
      <c r="Q33" s="194"/>
      <c r="R33" s="194"/>
      <c r="S33" s="194"/>
      <c r="T33" s="195"/>
      <c r="U33" s="196"/>
      <c r="V33" s="198"/>
      <c r="W33" s="198"/>
      <c r="X33" s="198"/>
      <c r="Y33" s="198"/>
      <c r="Z33" s="198"/>
      <c r="AA33" s="37"/>
      <c r="AF33" s="40" t="s">
        <v>350</v>
      </c>
      <c r="AG33" s="40"/>
      <c r="AH33" s="40"/>
      <c r="AI33" s="86"/>
      <c r="AJ33" s="40"/>
      <c r="AK33" s="40"/>
      <c r="AL33" s="40"/>
      <c r="AS33" s="208" t="s">
        <v>197</v>
      </c>
      <c r="AT33" s="208"/>
      <c r="AU33" s="208"/>
      <c r="AV33" s="221"/>
      <c r="AW33" s="217">
        <v>400000</v>
      </c>
      <c r="AX33" s="196"/>
      <c r="AY33" s="196"/>
      <c r="AZ33" s="196"/>
      <c r="BA33" s="196"/>
      <c r="BB33" s="196"/>
    </row>
    <row r="34" spans="2:54" ht="18.75">
      <c r="J34" s="24"/>
      <c r="M34" s="171"/>
      <c r="T34" s="25"/>
      <c r="U34" s="24"/>
      <c r="V34" s="189">
        <f>SUM(V21,V32)</f>
        <v>1778545</v>
      </c>
      <c r="W34" s="189">
        <f>SUM(W21,W32)</f>
        <v>2020185</v>
      </c>
      <c r="X34" s="189">
        <f>SUM(X21,X32)</f>
        <v>2261825</v>
      </c>
      <c r="Y34" s="189">
        <f>SUM(Y21,Y32)</f>
        <v>2503465</v>
      </c>
      <c r="Z34" s="189">
        <f>SUM(Z21,Z32)</f>
        <v>2745105</v>
      </c>
      <c r="AF34" s="40"/>
      <c r="AH34" s="202"/>
      <c r="AI34" s="203"/>
      <c r="AJ34" s="202"/>
      <c r="AK34" s="40"/>
      <c r="AL34" s="40"/>
      <c r="AR34" s="208"/>
      <c r="AS34" s="208" t="s">
        <v>368</v>
      </c>
      <c r="AT34" s="208"/>
      <c r="AU34" s="208"/>
      <c r="AV34" s="221"/>
      <c r="AW34" s="209">
        <v>120000</v>
      </c>
      <c r="AX34" s="196"/>
      <c r="AY34" s="196"/>
      <c r="AZ34" s="196"/>
      <c r="BA34" s="196"/>
      <c r="BB34" s="196"/>
    </row>
    <row r="35" spans="2:54" ht="18.75">
      <c r="B35" s="33" t="s">
        <v>297</v>
      </c>
      <c r="J35" s="24"/>
      <c r="M35" s="25"/>
      <c r="T35" s="25"/>
      <c r="U35" s="24"/>
      <c r="V35" s="24"/>
      <c r="W35" s="24"/>
      <c r="X35" s="24"/>
      <c r="Y35" s="24"/>
      <c r="Z35" s="24"/>
      <c r="AF35" s="40"/>
      <c r="AG35" s="202" t="s">
        <v>351</v>
      </c>
      <c r="AH35" s="40"/>
      <c r="AI35" s="86"/>
      <c r="AJ35" s="40"/>
      <c r="AK35" s="40"/>
      <c r="AL35" s="40"/>
      <c r="AR35" s="208"/>
      <c r="AS35" s="208" t="s">
        <v>17</v>
      </c>
      <c r="AT35" s="208"/>
      <c r="AU35" s="208"/>
      <c r="AV35" s="221"/>
      <c r="AW35" s="209">
        <v>15000</v>
      </c>
      <c r="AX35" s="196"/>
      <c r="AY35" s="196"/>
      <c r="AZ35" s="196"/>
      <c r="BA35" s="196"/>
      <c r="BB35" s="196"/>
    </row>
    <row r="36" spans="2:54" ht="18.75">
      <c r="C36" s="33" t="s">
        <v>298</v>
      </c>
      <c r="J36" s="24"/>
      <c r="L36" s="33" t="s">
        <v>48</v>
      </c>
      <c r="M36" s="27">
        <v>22.16</v>
      </c>
      <c r="T36" s="25"/>
      <c r="U36" s="24"/>
      <c r="V36" s="169" t="s">
        <v>327</v>
      </c>
      <c r="W36" s="191"/>
      <c r="X36" s="192" t="s">
        <v>328</v>
      </c>
      <c r="Y36" s="191"/>
      <c r="Z36" s="192" t="s">
        <v>329</v>
      </c>
      <c r="AF36" s="40"/>
      <c r="AG36" s="40"/>
      <c r="AH36" s="40"/>
      <c r="AI36" s="86"/>
      <c r="AJ36" s="40"/>
      <c r="AK36" s="40"/>
      <c r="AL36" s="40"/>
      <c r="AR36" s="208"/>
      <c r="AS36" s="208" t="s">
        <v>64</v>
      </c>
      <c r="AT36" s="208"/>
      <c r="AU36" s="208"/>
      <c r="AV36" s="221"/>
      <c r="AW36" s="209">
        <v>25000</v>
      </c>
      <c r="AX36" s="196"/>
      <c r="AY36" s="196"/>
      <c r="AZ36" s="196"/>
      <c r="BA36" s="196"/>
      <c r="BB36" s="196"/>
    </row>
    <row r="37" spans="2:54" ht="18.75">
      <c r="C37" s="33" t="s">
        <v>305</v>
      </c>
      <c r="J37" s="24"/>
      <c r="L37" s="33" t="s">
        <v>48</v>
      </c>
      <c r="M37" s="172">
        <v>22.16</v>
      </c>
      <c r="R37" s="161" t="s">
        <v>330</v>
      </c>
      <c r="S37" s="1"/>
      <c r="T37" s="1"/>
      <c r="U37" s="66"/>
      <c r="V37" s="190">
        <f>V34/6000</f>
        <v>296.42416666666668</v>
      </c>
      <c r="W37" s="190"/>
      <c r="X37" s="190">
        <f>X34/10000</f>
        <v>226.1825</v>
      </c>
      <c r="Y37" s="190"/>
      <c r="Z37" s="190">
        <f>Z34/14000</f>
        <v>196.07892857142858</v>
      </c>
      <c r="AF37" s="40" t="s">
        <v>352</v>
      </c>
      <c r="AG37" s="40"/>
      <c r="AH37" s="40"/>
      <c r="AI37" s="86"/>
      <c r="AJ37" s="40"/>
      <c r="AK37" s="40"/>
      <c r="AL37" s="40"/>
      <c r="AR37" s="208"/>
      <c r="AS37" s="222" t="s">
        <v>369</v>
      </c>
      <c r="AT37" s="222"/>
      <c r="AU37" s="208"/>
      <c r="AV37" s="221"/>
      <c r="AW37" s="209">
        <v>7500</v>
      </c>
      <c r="AX37" s="196"/>
      <c r="AY37" s="196"/>
      <c r="AZ37" s="196"/>
      <c r="BA37" s="196"/>
      <c r="BB37" s="196"/>
    </row>
    <row r="38" spans="2:54" ht="20.25" customHeight="1">
      <c r="C38" s="408" t="s">
        <v>306</v>
      </c>
      <c r="D38" s="408"/>
      <c r="E38" s="408"/>
      <c r="F38" s="408"/>
      <c r="J38" s="24"/>
      <c r="L38" s="33" t="s">
        <v>48</v>
      </c>
      <c r="M38" s="173" t="s">
        <v>307</v>
      </c>
      <c r="T38" s="168"/>
      <c r="U38" s="24"/>
      <c r="V38" s="24"/>
      <c r="W38" s="24"/>
      <c r="X38" s="24"/>
      <c r="Y38" s="24"/>
      <c r="Z38" s="24"/>
      <c r="AF38" s="40"/>
      <c r="AG38" s="40"/>
      <c r="AH38" s="40"/>
      <c r="AI38" s="86"/>
      <c r="AJ38" s="40"/>
      <c r="AK38" s="40"/>
      <c r="AL38" s="40"/>
      <c r="AR38" s="208"/>
      <c r="AS38" s="208"/>
      <c r="AT38" s="234" t="s">
        <v>370</v>
      </c>
      <c r="AU38" s="234"/>
      <c r="AV38" s="232"/>
      <c r="AW38" s="231">
        <f>SUM(AW33:AW37)</f>
        <v>567500</v>
      </c>
      <c r="AX38" s="231">
        <v>567500</v>
      </c>
      <c r="AY38" s="231">
        <v>567500</v>
      </c>
      <c r="AZ38" s="231">
        <v>567500</v>
      </c>
      <c r="BA38" s="231">
        <v>567500</v>
      </c>
      <c r="BB38" s="231">
        <v>567500</v>
      </c>
    </row>
    <row r="39" spans="2:54" ht="25.5" customHeight="1" thickBot="1">
      <c r="C39" s="408"/>
      <c r="D39" s="408"/>
      <c r="E39" s="408"/>
      <c r="F39" s="408"/>
      <c r="J39" s="24"/>
      <c r="M39" s="25"/>
      <c r="AF39" s="40"/>
      <c r="AG39" s="202" t="s">
        <v>353</v>
      </c>
      <c r="AH39" s="202"/>
      <c r="AI39" s="203"/>
      <c r="AJ39" s="202"/>
      <c r="AK39" s="40"/>
      <c r="AL39" s="40"/>
      <c r="AR39" s="208"/>
      <c r="AS39" s="208"/>
      <c r="AT39" s="411" t="s">
        <v>371</v>
      </c>
      <c r="AU39" s="411"/>
      <c r="AV39" s="241"/>
      <c r="AW39" s="240">
        <f>SUM(AW30,AW38)</f>
        <v>6410625</v>
      </c>
      <c r="AX39" s="242">
        <v>6410625</v>
      </c>
      <c r="AY39" s="242">
        <v>6410625</v>
      </c>
      <c r="AZ39" s="242">
        <v>6410625</v>
      </c>
      <c r="BA39" s="242">
        <v>6410625</v>
      </c>
      <c r="BB39" s="242">
        <v>6410625</v>
      </c>
    </row>
    <row r="40" spans="2:54" ht="23.25" customHeight="1" thickBot="1">
      <c r="C40" s="166"/>
      <c r="D40" s="166"/>
      <c r="E40" s="166"/>
      <c r="F40" s="166"/>
      <c r="J40" s="24"/>
      <c r="M40" s="25"/>
      <c r="AR40" s="208"/>
      <c r="AS40" s="208"/>
      <c r="AT40" s="243" t="s">
        <v>372</v>
      </c>
      <c r="AU40" s="244"/>
      <c r="AV40" s="245"/>
      <c r="AW40" s="246"/>
      <c r="AX40" s="246">
        <f>SUM(AX20,AX30,AX38)</f>
        <v>7375365</v>
      </c>
      <c r="AY40" s="246"/>
      <c r="AZ40" s="246">
        <f t="shared" ref="AZ40:BB40" si="0">SUM(AZ20,AZ30,AZ38)</f>
        <v>8018525</v>
      </c>
      <c r="BA40" s="246"/>
      <c r="BB40" s="247">
        <f t="shared" si="0"/>
        <v>8661685</v>
      </c>
    </row>
    <row r="41" spans="2:54" ht="18.75">
      <c r="B41" s="33" t="s">
        <v>299</v>
      </c>
      <c r="J41" s="24"/>
      <c r="M41" s="25"/>
      <c r="AR41" s="208"/>
      <c r="AT41" s="194"/>
      <c r="AU41" s="194"/>
      <c r="AV41" s="195"/>
      <c r="AW41" s="196"/>
      <c r="AX41" s="196"/>
      <c r="AY41" s="196"/>
      <c r="AZ41" s="196"/>
      <c r="BA41" s="196"/>
      <c r="BB41" s="196"/>
    </row>
    <row r="42" spans="2:54" ht="18.75">
      <c r="C42" s="33" t="s">
        <v>29</v>
      </c>
      <c r="I42" s="33" t="s">
        <v>48</v>
      </c>
      <c r="J42" s="26">
        <v>30000</v>
      </c>
      <c r="L42" s="33" t="s">
        <v>48</v>
      </c>
      <c r="M42" s="27">
        <v>0.5</v>
      </c>
      <c r="AR42" s="208"/>
      <c r="AS42" s="194"/>
      <c r="AT42" s="208"/>
      <c r="AU42" s="208"/>
      <c r="AV42" s="221"/>
      <c r="AW42" s="218"/>
      <c r="AX42" s="218"/>
      <c r="AY42" s="218"/>
      <c r="AZ42" s="218"/>
      <c r="BA42" s="218"/>
      <c r="BB42" s="218"/>
    </row>
    <row r="43" spans="2:54" ht="18.75">
      <c r="C43" s="33" t="s">
        <v>30</v>
      </c>
      <c r="I43" s="33" t="s">
        <v>48</v>
      </c>
      <c r="J43" s="68">
        <v>150000</v>
      </c>
      <c r="L43" s="33" t="s">
        <v>48</v>
      </c>
      <c r="M43" s="27">
        <v>2.5</v>
      </c>
      <c r="AR43" s="208"/>
      <c r="AS43" s="208"/>
      <c r="AT43" s="208"/>
      <c r="AU43" s="208"/>
      <c r="AV43" s="221"/>
      <c r="AW43" s="218"/>
      <c r="AX43" s="223" t="s">
        <v>374</v>
      </c>
      <c r="AY43" s="224"/>
      <c r="AZ43" s="225" t="s">
        <v>375</v>
      </c>
      <c r="BA43" s="224"/>
      <c r="BB43" s="225" t="s">
        <v>376</v>
      </c>
    </row>
    <row r="44" spans="2:54" ht="18.75">
      <c r="C44" s="33" t="s">
        <v>300</v>
      </c>
      <c r="E44" s="169" t="s">
        <v>308</v>
      </c>
      <c r="I44" s="33" t="s">
        <v>48</v>
      </c>
      <c r="J44" s="68">
        <v>60000</v>
      </c>
      <c r="L44" s="33" t="s">
        <v>48</v>
      </c>
      <c r="M44" s="27">
        <v>1</v>
      </c>
      <c r="V44" s="35"/>
      <c r="AR44" s="208"/>
      <c r="AS44" s="208"/>
      <c r="AT44" s="226" t="s">
        <v>330</v>
      </c>
      <c r="AU44" s="227"/>
      <c r="AV44" s="227"/>
      <c r="AW44" s="228"/>
      <c r="AX44" s="229">
        <f>AX40/6000</f>
        <v>1229.2275</v>
      </c>
      <c r="AY44" s="229"/>
      <c r="AZ44" s="229">
        <f>AZ40/10000</f>
        <v>801.85249999999996</v>
      </c>
      <c r="BA44" s="229"/>
      <c r="BB44" s="229">
        <f>BB40/14000</f>
        <v>618.69178571428574</v>
      </c>
    </row>
    <row r="45" spans="2:54" ht="18.75">
      <c r="C45" s="33" t="s">
        <v>160</v>
      </c>
      <c r="I45" s="33" t="s">
        <v>48</v>
      </c>
      <c r="J45" s="68">
        <v>150000</v>
      </c>
      <c r="L45" s="33" t="s">
        <v>48</v>
      </c>
      <c r="M45" s="27">
        <v>2.5</v>
      </c>
      <c r="AR45" s="208"/>
      <c r="AS45" s="208"/>
      <c r="AV45" s="168"/>
      <c r="AW45" s="24"/>
      <c r="AX45" s="24"/>
      <c r="AY45" s="24"/>
      <c r="AZ45" s="24"/>
      <c r="BA45" s="24"/>
      <c r="BB45" s="24"/>
    </row>
    <row r="46" spans="2:54" ht="18.75">
      <c r="D46" s="33" t="s">
        <v>301</v>
      </c>
      <c r="I46" s="33" t="s">
        <v>48</v>
      </c>
      <c r="J46" s="68">
        <v>390000</v>
      </c>
      <c r="L46" s="33" t="s">
        <v>48</v>
      </c>
      <c r="M46" s="27">
        <v>6.5</v>
      </c>
      <c r="AR46" s="208"/>
      <c r="AS46" s="208"/>
    </row>
    <row r="47" spans="2:54" ht="18.75">
      <c r="J47" s="25"/>
      <c r="M47" s="25"/>
      <c r="AR47" s="208"/>
    </row>
    <row r="48" spans="2:54" ht="18.75">
      <c r="D48" s="33" t="s">
        <v>302</v>
      </c>
      <c r="I48" s="33" t="s">
        <v>48</v>
      </c>
      <c r="J48" s="27">
        <v>120.82</v>
      </c>
      <c r="M48" s="25"/>
    </row>
    <row r="49" spans="4:13" ht="18.75">
      <c r="J49" s="25"/>
      <c r="M49" s="25"/>
    </row>
    <row r="50" spans="4:13" ht="18.75">
      <c r="D50" s="152" t="s">
        <v>310</v>
      </c>
      <c r="J50" s="25"/>
      <c r="M50" s="25"/>
    </row>
    <row r="51" spans="4:13" ht="18.75">
      <c r="J51" s="25"/>
      <c r="M51" s="25"/>
    </row>
    <row r="52" spans="4:13" ht="18.75">
      <c r="J52" s="25"/>
      <c r="M52" s="25"/>
    </row>
    <row r="53" spans="4:13" ht="18.75">
      <c r="J53" s="25"/>
    </row>
    <row r="54" spans="4:13" ht="18.75">
      <c r="J54" s="25"/>
    </row>
    <row r="55" spans="4:13" ht="18.75">
      <c r="J55" s="25"/>
    </row>
    <row r="56" spans="4:13" ht="18.75">
      <c r="J56" s="25"/>
    </row>
    <row r="57" spans="4:13" ht="18.75">
      <c r="J57" s="25"/>
    </row>
    <row r="58" spans="4:13" ht="18.75">
      <c r="J58" s="25"/>
    </row>
    <row r="59" spans="4:13" ht="18.75">
      <c r="J59" s="25"/>
    </row>
    <row r="60" spans="4:13" ht="18.75">
      <c r="J60" s="25"/>
    </row>
  </sheetData>
  <mergeCells count="14">
    <mergeCell ref="C38:F39"/>
    <mergeCell ref="J11:J12"/>
    <mergeCell ref="M11:M12"/>
    <mergeCell ref="B4:H4"/>
    <mergeCell ref="AT39:AU39"/>
    <mergeCell ref="Q32:S32"/>
    <mergeCell ref="AR2:AX2"/>
    <mergeCell ref="AV6:BB6"/>
    <mergeCell ref="AS27:AU27"/>
    <mergeCell ref="P4:V4"/>
    <mergeCell ref="T8:Z8"/>
    <mergeCell ref="Q21:S21"/>
    <mergeCell ref="AI15:AJ15"/>
    <mergeCell ref="AF18:AL20"/>
  </mergeCells>
  <pageMargins left="0.7" right="0.7" top="0.75" bottom="0.75" header="0.3" footer="0.3"/>
  <pageSetup scale="80" orientation="portrait" r:id="rId1"/>
  <drawing r:id="rId2"/>
  <legacyDrawing r:id="rId3"/>
  <oleObjects>
    <oleObject progId="Equation.3" shapeId="5122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B4:S81"/>
  <sheetViews>
    <sheetView tabSelected="1" topLeftCell="C40" workbookViewId="0">
      <selection activeCell="C43" sqref="C43:J80"/>
    </sheetView>
  </sheetViews>
  <sheetFormatPr defaultRowHeight="12.75"/>
  <cols>
    <col min="1" max="2" width="9.140625" style="33"/>
    <col min="3" max="3" width="3.5703125" style="170" customWidth="1"/>
    <col min="4" max="4" width="19.140625" style="170" bestFit="1" customWidth="1"/>
    <col min="5" max="5" width="9.140625" style="33"/>
    <col min="6" max="6" width="10.140625" style="104" bestFit="1" customWidth="1"/>
    <col min="7" max="7" width="1.7109375" style="104" customWidth="1"/>
    <col min="8" max="8" width="9.28515625" style="104" bestFit="1" customWidth="1"/>
    <col min="9" max="9" width="2" style="104" customWidth="1"/>
    <col min="10" max="10" width="9.28515625" style="104" bestFit="1" customWidth="1"/>
    <col min="11" max="12" width="9.140625" style="33"/>
    <col min="13" max="13" width="9.28515625" style="33" bestFit="1" customWidth="1"/>
    <col min="14" max="16384" width="9.140625" style="33"/>
  </cols>
  <sheetData>
    <row r="4" spans="3:19" ht="15.75" customHeight="1">
      <c r="C4" s="412" t="s">
        <v>611</v>
      </c>
      <c r="D4" s="413"/>
      <c r="E4" s="413"/>
      <c r="F4" s="413"/>
      <c r="G4" s="413"/>
      <c r="H4" s="413"/>
      <c r="I4" s="413"/>
      <c r="J4" s="414"/>
      <c r="L4" s="421" t="s">
        <v>377</v>
      </c>
      <c r="M4" s="421"/>
      <c r="N4" s="421"/>
      <c r="O4" s="421"/>
      <c r="P4" s="421"/>
      <c r="Q4" s="421"/>
      <c r="R4" s="421"/>
      <c r="S4" s="421"/>
    </row>
    <row r="5" spans="3:19" ht="12.75" customHeight="1">
      <c r="C5" s="415"/>
      <c r="D5" s="416"/>
      <c r="E5" s="416"/>
      <c r="F5" s="416"/>
      <c r="G5" s="416"/>
      <c r="H5" s="416"/>
      <c r="I5" s="416"/>
      <c r="J5" s="417"/>
      <c r="L5" s="421"/>
      <c r="M5" s="421"/>
      <c r="N5" s="421"/>
      <c r="O5" s="421"/>
      <c r="P5" s="421"/>
      <c r="Q5" s="421"/>
      <c r="R5" s="421"/>
      <c r="S5" s="421"/>
    </row>
    <row r="6" spans="3:19">
      <c r="C6" s="418"/>
      <c r="D6" s="419"/>
      <c r="E6" s="419"/>
      <c r="F6" s="419"/>
      <c r="G6" s="419"/>
      <c r="H6" s="419"/>
      <c r="I6" s="419"/>
      <c r="J6" s="420"/>
      <c r="L6" s="421"/>
      <c r="M6" s="421"/>
      <c r="N6" s="421"/>
      <c r="O6" s="421"/>
      <c r="P6" s="421"/>
      <c r="Q6" s="421"/>
      <c r="R6" s="421"/>
      <c r="S6" s="421"/>
    </row>
    <row r="7" spans="3:19" ht="15.75">
      <c r="C7" s="255"/>
      <c r="D7" s="255"/>
      <c r="E7" s="255"/>
      <c r="F7" s="255"/>
      <c r="G7" s="255"/>
      <c r="H7" s="255"/>
      <c r="I7" s="255"/>
      <c r="J7" s="255"/>
    </row>
    <row r="8" spans="3:19">
      <c r="F8" s="248" t="s">
        <v>379</v>
      </c>
      <c r="G8" s="248"/>
      <c r="H8" s="248" t="s">
        <v>90</v>
      </c>
      <c r="I8" s="248"/>
      <c r="J8" s="248" t="s">
        <v>91</v>
      </c>
      <c r="L8" s="33" t="s">
        <v>395</v>
      </c>
    </row>
    <row r="9" spans="3:19">
      <c r="C9" s="170" t="s">
        <v>378</v>
      </c>
    </row>
    <row r="10" spans="3:19">
      <c r="D10" s="170" t="s">
        <v>380</v>
      </c>
      <c r="F10" s="250">
        <v>11250</v>
      </c>
      <c r="H10" s="250">
        <v>11250</v>
      </c>
      <c r="J10" s="250">
        <v>11250</v>
      </c>
      <c r="L10" s="422" t="s">
        <v>396</v>
      </c>
      <c r="M10" s="422"/>
      <c r="N10" s="422"/>
      <c r="O10" s="422"/>
      <c r="P10" s="422"/>
      <c r="Q10" s="422"/>
      <c r="R10" s="422"/>
    </row>
    <row r="11" spans="3:19">
      <c r="C11" s="170" t="s">
        <v>381</v>
      </c>
      <c r="L11" s="422"/>
      <c r="M11" s="422"/>
      <c r="N11" s="422"/>
      <c r="O11" s="422"/>
      <c r="P11" s="422"/>
      <c r="Q11" s="422"/>
      <c r="R11" s="422"/>
    </row>
    <row r="12" spans="3:19">
      <c r="D12" s="170" t="s">
        <v>382</v>
      </c>
      <c r="F12" s="250">
        <v>0</v>
      </c>
      <c r="H12" s="250">
        <v>-3750</v>
      </c>
      <c r="J12" s="250">
        <v>-3750</v>
      </c>
      <c r="L12" s="422"/>
      <c r="M12" s="422"/>
      <c r="N12" s="422"/>
      <c r="O12" s="422"/>
      <c r="P12" s="422"/>
      <c r="Q12" s="422"/>
      <c r="R12" s="422"/>
    </row>
    <row r="13" spans="3:19">
      <c r="C13" s="170" t="s">
        <v>383</v>
      </c>
      <c r="F13" s="251">
        <v>0</v>
      </c>
      <c r="H13" s="251">
        <v>72500</v>
      </c>
      <c r="J13" s="251">
        <v>50000</v>
      </c>
      <c r="L13" s="104"/>
    </row>
    <row r="14" spans="3:19">
      <c r="C14" s="170" t="s">
        <v>384</v>
      </c>
      <c r="H14" s="250">
        <v>5000</v>
      </c>
      <c r="J14" s="251">
        <v>2500</v>
      </c>
      <c r="L14" s="104"/>
    </row>
    <row r="15" spans="3:19">
      <c r="C15" s="170" t="s">
        <v>391</v>
      </c>
      <c r="F15" s="250">
        <v>0</v>
      </c>
      <c r="H15" s="250"/>
      <c r="J15" s="251"/>
      <c r="L15" s="104" t="s">
        <v>185</v>
      </c>
    </row>
    <row r="16" spans="3:19">
      <c r="D16" s="170" t="s">
        <v>390</v>
      </c>
      <c r="F16" s="250"/>
      <c r="H16" s="250">
        <v>120000</v>
      </c>
      <c r="J16" s="251"/>
      <c r="L16" s="104"/>
    </row>
    <row r="17" spans="2:19" ht="12.75" customHeight="1">
      <c r="D17" s="170" t="s">
        <v>604</v>
      </c>
      <c r="F17" s="250"/>
      <c r="H17" s="250"/>
      <c r="J17" s="251">
        <v>240000</v>
      </c>
      <c r="L17" s="422" t="s">
        <v>397</v>
      </c>
      <c r="M17" s="422"/>
      <c r="N17" s="422"/>
      <c r="O17" s="422"/>
      <c r="P17" s="422"/>
      <c r="Q17" s="422"/>
      <c r="R17" s="422"/>
      <c r="S17" s="422"/>
    </row>
    <row r="18" spans="2:19">
      <c r="C18" s="170" t="s">
        <v>385</v>
      </c>
      <c r="F18" s="251">
        <v>475000</v>
      </c>
      <c r="H18" s="250">
        <v>225000</v>
      </c>
      <c r="J18" s="251">
        <v>75000</v>
      </c>
      <c r="L18" s="422"/>
      <c r="M18" s="422"/>
      <c r="N18" s="422"/>
      <c r="O18" s="422"/>
      <c r="P18" s="422"/>
      <c r="Q18" s="422"/>
      <c r="R18" s="422"/>
      <c r="S18" s="422"/>
    </row>
    <row r="19" spans="2:19">
      <c r="C19" s="170" t="s">
        <v>30</v>
      </c>
      <c r="L19" s="422"/>
      <c r="M19" s="422"/>
      <c r="N19" s="422"/>
      <c r="O19" s="422"/>
      <c r="P19" s="422"/>
      <c r="Q19" s="422"/>
      <c r="R19" s="422"/>
      <c r="S19" s="422"/>
    </row>
    <row r="20" spans="2:19">
      <c r="D20" s="170" t="s">
        <v>386</v>
      </c>
      <c r="F20" s="250">
        <v>60000</v>
      </c>
      <c r="H20" s="250">
        <v>45000</v>
      </c>
      <c r="J20" s="250">
        <v>30000</v>
      </c>
      <c r="L20" s="422"/>
      <c r="M20" s="422"/>
      <c r="N20" s="422"/>
      <c r="O20" s="422"/>
      <c r="P20" s="422"/>
      <c r="Q20" s="422"/>
      <c r="R20" s="422"/>
      <c r="S20" s="422"/>
    </row>
    <row r="21" spans="2:19">
      <c r="C21" s="170" t="s">
        <v>29</v>
      </c>
      <c r="L21" s="104"/>
    </row>
    <row r="22" spans="2:19">
      <c r="D22" s="170" t="s">
        <v>387</v>
      </c>
      <c r="F22" s="250">
        <v>22500</v>
      </c>
      <c r="H22" s="250">
        <v>15000</v>
      </c>
      <c r="J22" s="250">
        <v>30000</v>
      </c>
      <c r="L22" s="104"/>
    </row>
    <row r="23" spans="2:19">
      <c r="L23" s="104"/>
    </row>
    <row r="24" spans="2:19">
      <c r="C24" s="170" t="s">
        <v>392</v>
      </c>
      <c r="L24" s="104"/>
    </row>
    <row r="25" spans="2:19">
      <c r="L25" s="104"/>
    </row>
    <row r="26" spans="2:19">
      <c r="B26" s="8" t="s">
        <v>90</v>
      </c>
      <c r="L26" s="104"/>
    </row>
    <row r="27" spans="2:19">
      <c r="B27" s="8"/>
      <c r="L27" s="104"/>
    </row>
    <row r="28" spans="2:19">
      <c r="B28" s="8"/>
      <c r="G28" s="104" t="s">
        <v>605</v>
      </c>
      <c r="H28" s="344">
        <v>34375</v>
      </c>
      <c r="L28" s="104"/>
    </row>
    <row r="29" spans="2:19">
      <c r="B29" s="8"/>
      <c r="L29" s="104"/>
    </row>
    <row r="30" spans="2:19">
      <c r="B30" s="8"/>
      <c r="C30" s="170" t="s">
        <v>393</v>
      </c>
      <c r="L30" s="104"/>
    </row>
    <row r="31" spans="2:19">
      <c r="B31" s="8"/>
    </row>
    <row r="32" spans="2:19">
      <c r="B32" s="8" t="s">
        <v>91</v>
      </c>
    </row>
    <row r="34" spans="3:12">
      <c r="I34" s="104" t="s">
        <v>605</v>
      </c>
      <c r="J34" s="344">
        <v>23124</v>
      </c>
    </row>
    <row r="35" spans="3:12">
      <c r="J35" s="344"/>
    </row>
    <row r="36" spans="3:12">
      <c r="F36" s="250"/>
      <c r="G36" s="250"/>
      <c r="H36" s="250"/>
      <c r="I36" s="250"/>
      <c r="J36" s="250"/>
    </row>
    <row r="37" spans="3:12">
      <c r="D37" s="199" t="s">
        <v>388</v>
      </c>
      <c r="F37" s="155">
        <f>SUM(F10:F22)</f>
        <v>568750</v>
      </c>
      <c r="G37" s="252"/>
      <c r="H37" s="155">
        <f>SUM(H10:H28)</f>
        <v>524375</v>
      </c>
      <c r="I37" s="252"/>
      <c r="J37" s="155">
        <f>SUM(J10:J34)</f>
        <v>458124</v>
      </c>
    </row>
    <row r="38" spans="3:12">
      <c r="D38" s="199"/>
      <c r="F38" s="256"/>
      <c r="G38" s="257"/>
      <c r="H38" s="256"/>
      <c r="I38" s="257"/>
      <c r="J38" s="256"/>
      <c r="K38" s="104"/>
      <c r="L38" s="104"/>
    </row>
    <row r="39" spans="3:12" ht="13.5" thickBot="1">
      <c r="D39" s="199" t="s">
        <v>394</v>
      </c>
      <c r="E39" s="122" t="s">
        <v>389</v>
      </c>
      <c r="F39" s="254">
        <f>F37/30000</f>
        <v>18.958333333333332</v>
      </c>
      <c r="G39" s="254"/>
      <c r="H39" s="254">
        <f t="shared" ref="H39:J39" si="0">H37/30000</f>
        <v>17.479166666666668</v>
      </c>
      <c r="I39" s="254"/>
      <c r="J39" s="254">
        <f t="shared" si="0"/>
        <v>15.270799999999999</v>
      </c>
    </row>
    <row r="40" spans="3:12" ht="13.5" thickTop="1"/>
    <row r="43" spans="3:12">
      <c r="C43" s="412" t="s">
        <v>612</v>
      </c>
      <c r="D43" s="413"/>
      <c r="E43" s="413"/>
      <c r="F43" s="413"/>
      <c r="G43" s="413"/>
      <c r="H43" s="413"/>
      <c r="I43" s="413"/>
      <c r="J43" s="414"/>
    </row>
    <row r="44" spans="3:12">
      <c r="C44" s="415"/>
      <c r="D44" s="416"/>
      <c r="E44" s="416"/>
      <c r="F44" s="416"/>
      <c r="G44" s="416"/>
      <c r="H44" s="416"/>
      <c r="I44" s="416"/>
      <c r="J44" s="417"/>
    </row>
    <row r="45" spans="3:12">
      <c r="C45" s="418"/>
      <c r="D45" s="419"/>
      <c r="E45" s="419"/>
      <c r="F45" s="419"/>
      <c r="G45" s="419"/>
      <c r="H45" s="419"/>
      <c r="I45" s="419"/>
      <c r="J45" s="420"/>
    </row>
    <row r="46" spans="3:12" ht="15.75">
      <c r="C46" s="331"/>
      <c r="D46" s="331"/>
      <c r="E46" s="331"/>
      <c r="F46" s="331"/>
      <c r="G46" s="331"/>
      <c r="H46" s="331"/>
      <c r="I46" s="331"/>
      <c r="J46" s="331"/>
    </row>
    <row r="47" spans="3:12">
      <c r="F47" s="248" t="s">
        <v>379</v>
      </c>
      <c r="G47" s="248"/>
      <c r="H47" s="248" t="s">
        <v>90</v>
      </c>
      <c r="I47" s="248"/>
      <c r="J47" s="248" t="s">
        <v>91</v>
      </c>
    </row>
    <row r="48" spans="3:12">
      <c r="C48" s="170" t="s">
        <v>378</v>
      </c>
    </row>
    <row r="49" spans="3:12">
      <c r="D49" s="170" t="s">
        <v>380</v>
      </c>
      <c r="F49" s="250">
        <v>11250</v>
      </c>
      <c r="H49" s="250">
        <v>11250</v>
      </c>
      <c r="J49" s="250">
        <v>11250</v>
      </c>
    </row>
    <row r="50" spans="3:12">
      <c r="C50" s="170" t="s">
        <v>381</v>
      </c>
    </row>
    <row r="51" spans="3:12">
      <c r="D51" s="170" t="s">
        <v>382</v>
      </c>
      <c r="F51" s="250">
        <v>0</v>
      </c>
      <c r="H51" s="250">
        <v>-3750</v>
      </c>
      <c r="J51" s="250">
        <v>-3750</v>
      </c>
      <c r="L51" s="104">
        <f>SUM(H49:H69)</f>
        <v>704375</v>
      </c>
    </row>
    <row r="52" spans="3:12">
      <c r="C52" s="170" t="s">
        <v>383</v>
      </c>
      <c r="F52" s="251">
        <v>0</v>
      </c>
      <c r="H52" s="251">
        <v>72500</v>
      </c>
      <c r="J52" s="251">
        <v>50000</v>
      </c>
    </row>
    <row r="53" spans="3:12">
      <c r="C53" s="170" t="s">
        <v>384</v>
      </c>
      <c r="H53" s="250">
        <v>5000</v>
      </c>
      <c r="J53" s="251">
        <v>2500</v>
      </c>
    </row>
    <row r="54" spans="3:12">
      <c r="C54" s="170" t="s">
        <v>391</v>
      </c>
      <c r="F54" s="250">
        <v>0</v>
      </c>
      <c r="H54" s="250"/>
      <c r="J54" s="251"/>
    </row>
    <row r="55" spans="3:12">
      <c r="D55" s="170" t="s">
        <v>606</v>
      </c>
      <c r="F55" s="250"/>
      <c r="H55" s="250">
        <v>240000</v>
      </c>
      <c r="J55" s="251"/>
      <c r="L55" s="104"/>
    </row>
    <row r="56" spans="3:12">
      <c r="D56" s="170" t="s">
        <v>607</v>
      </c>
      <c r="F56" s="250"/>
      <c r="H56" s="250"/>
      <c r="J56" s="251">
        <v>480000</v>
      </c>
    </row>
    <row r="57" spans="3:12">
      <c r="C57" s="170" t="s">
        <v>385</v>
      </c>
      <c r="F57" s="251">
        <v>475000</v>
      </c>
      <c r="H57" s="250">
        <v>225000</v>
      </c>
      <c r="J57" s="251">
        <v>75000</v>
      </c>
    </row>
    <row r="58" spans="3:12">
      <c r="C58" s="170" t="s">
        <v>609</v>
      </c>
      <c r="F58" s="118">
        <v>475000</v>
      </c>
      <c r="H58" s="118"/>
      <c r="J58" s="118"/>
    </row>
    <row r="59" spans="3:12">
      <c r="D59" s="170" t="s">
        <v>610</v>
      </c>
      <c r="F59" s="118">
        <f>F58*0.2</f>
        <v>95000</v>
      </c>
      <c r="H59" s="118"/>
      <c r="J59" s="118"/>
    </row>
    <row r="60" spans="3:12">
      <c r="C60" s="170" t="s">
        <v>30</v>
      </c>
    </row>
    <row r="61" spans="3:12">
      <c r="D61" s="170" t="s">
        <v>386</v>
      </c>
      <c r="F61" s="250">
        <f>60000*2</f>
        <v>120000</v>
      </c>
      <c r="H61" s="250">
        <f>60000*1.5</f>
        <v>90000</v>
      </c>
      <c r="J61" s="250">
        <v>60000</v>
      </c>
    </row>
    <row r="62" spans="3:12">
      <c r="C62" s="170" t="s">
        <v>29</v>
      </c>
    </row>
    <row r="63" spans="3:12">
      <c r="D63" s="170" t="s">
        <v>387</v>
      </c>
      <c r="F63" s="250">
        <f>60000*0.75</f>
        <v>45000</v>
      </c>
      <c r="H63" s="250">
        <f>60000*0.5</f>
        <v>30000</v>
      </c>
      <c r="J63" s="250">
        <v>60000</v>
      </c>
    </row>
    <row r="65" spans="3:13">
      <c r="C65" s="170" t="s">
        <v>392</v>
      </c>
    </row>
    <row r="69" spans="3:13">
      <c r="G69" s="104" t="s">
        <v>605</v>
      </c>
      <c r="H69" s="344">
        <v>34375</v>
      </c>
    </row>
    <row r="70" spans="3:13">
      <c r="M70" s="104"/>
    </row>
    <row r="71" spans="3:13">
      <c r="C71" s="170" t="s">
        <v>393</v>
      </c>
    </row>
    <row r="75" spans="3:13">
      <c r="I75" s="104" t="s">
        <v>605</v>
      </c>
      <c r="J75" s="344">
        <v>23124</v>
      </c>
    </row>
    <row r="77" spans="3:13">
      <c r="F77" s="250"/>
      <c r="G77" s="250"/>
      <c r="H77" s="250"/>
      <c r="I77" s="250"/>
      <c r="J77" s="250"/>
    </row>
    <row r="78" spans="3:13">
      <c r="D78" s="199" t="s">
        <v>388</v>
      </c>
      <c r="F78" s="155">
        <f>SUM(F49:F75)</f>
        <v>1221250</v>
      </c>
      <c r="G78" s="155"/>
      <c r="H78" s="155">
        <f>SUM(H49:H75)</f>
        <v>704375</v>
      </c>
      <c r="I78" s="155"/>
      <c r="J78" s="155">
        <f>SUM(J49:J75)</f>
        <v>758124</v>
      </c>
    </row>
    <row r="79" spans="3:13">
      <c r="D79" s="199"/>
      <c r="F79" s="256"/>
      <c r="G79" s="257"/>
      <c r="H79" s="256"/>
      <c r="I79" s="257"/>
      <c r="J79" s="256"/>
    </row>
    <row r="80" spans="3:13" ht="13.5" thickBot="1">
      <c r="D80" s="199" t="s">
        <v>608</v>
      </c>
      <c r="E80" s="122" t="s">
        <v>389</v>
      </c>
      <c r="F80" s="254">
        <f>F78/60000</f>
        <v>20.354166666666668</v>
      </c>
      <c r="G80" s="254"/>
      <c r="H80" s="254">
        <f t="shared" ref="H80:J80" si="1">H78/60000</f>
        <v>11.739583333333334</v>
      </c>
      <c r="I80" s="254"/>
      <c r="J80" s="254">
        <f t="shared" si="1"/>
        <v>12.635400000000001</v>
      </c>
    </row>
    <row r="81" ht="13.5" thickTop="1"/>
  </sheetData>
  <mergeCells count="5">
    <mergeCell ref="C43:J45"/>
    <mergeCell ref="C4:J6"/>
    <mergeCell ref="L4:S6"/>
    <mergeCell ref="L10:R12"/>
    <mergeCell ref="L17:S20"/>
  </mergeCells>
  <pageMargins left="0.7" right="0.7" top="0.75" bottom="0.75" header="0.3" footer="0.3"/>
  <pageSetup scale="135" orientation="portrait" r:id="rId1"/>
  <legacyDrawing r:id="rId2"/>
  <oleObjects>
    <oleObject progId="Equation.3" shapeId="6146" r:id="rId3"/>
    <oleObject progId="Equation.3" shapeId="6147" r:id="rId4"/>
    <oleObject progId="Equation.3" shapeId="6150" r:id="rId5"/>
    <oleObject progId="Equation.3" shapeId="6151" r:id="rId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15</vt:i4>
      </vt:variant>
    </vt:vector>
  </HeadingPairs>
  <TitlesOfParts>
    <vt:vector size="34" baseType="lpstr">
      <vt:lpstr>CAP1Variable</vt:lpstr>
      <vt:lpstr>Sheet2</vt:lpstr>
      <vt:lpstr>Sheet3</vt:lpstr>
      <vt:lpstr>CAP3C-V-P</vt:lpstr>
      <vt:lpstr>CAP5</vt:lpstr>
      <vt:lpstr>CAP8</vt:lpstr>
      <vt:lpstr>CAP8_statements</vt:lpstr>
      <vt:lpstr>CAP9</vt:lpstr>
      <vt:lpstr>CAP12</vt:lpstr>
      <vt:lpstr>CAP13</vt:lpstr>
      <vt:lpstr>CAP15</vt:lpstr>
      <vt:lpstr>CAP17</vt:lpstr>
      <vt:lpstr>CAP19</vt:lpstr>
      <vt:lpstr>CAP20</vt:lpstr>
      <vt:lpstr>CAP24</vt:lpstr>
      <vt:lpstr>Sheet1</vt:lpstr>
      <vt:lpstr>Sheet4</vt:lpstr>
      <vt:lpstr>CAP16</vt:lpstr>
      <vt:lpstr>CAP17_Largay</vt:lpstr>
      <vt:lpstr>'CAP12'!Print_Area</vt:lpstr>
      <vt:lpstr>'CAP13'!Print_Area</vt:lpstr>
      <vt:lpstr>'CAP15'!Print_Area</vt:lpstr>
      <vt:lpstr>'CAP17'!Print_Area</vt:lpstr>
      <vt:lpstr>CAP17_Largay!Print_Area</vt:lpstr>
      <vt:lpstr>'CAP19'!Print_Area</vt:lpstr>
      <vt:lpstr>CAP1Variable!Print_Area</vt:lpstr>
      <vt:lpstr>'CAP20'!Print_Area</vt:lpstr>
      <vt:lpstr>'CAP24'!Print_Area</vt:lpstr>
      <vt:lpstr>'CAP3C-V-P'!Print_Area</vt:lpstr>
      <vt:lpstr>'CAP5'!Print_Area</vt:lpstr>
      <vt:lpstr>'CAP8'!Print_Area</vt:lpstr>
      <vt:lpstr>CAP8_statements!Print_Area</vt:lpstr>
      <vt:lpstr>'CAP9'!Print_Area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J. Burnham</dc:creator>
  <cp:lastModifiedBy>Colleen J. Burnham</cp:lastModifiedBy>
  <cp:lastPrinted>2008-06-25T17:39:46Z</cp:lastPrinted>
  <dcterms:created xsi:type="dcterms:W3CDTF">2008-06-07T18:16:29Z</dcterms:created>
  <dcterms:modified xsi:type="dcterms:W3CDTF">2008-06-26T13:18:56Z</dcterms:modified>
</cp:coreProperties>
</file>